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3\"/>
    </mc:Choice>
  </mc:AlternateContent>
  <xr:revisionPtr revIDLastSave="0" documentId="13_ncr:1_{A4E08E47-AA9F-432D-AA41-86D6193C7237}" xr6:coauthVersionLast="47" xr6:coauthVersionMax="47" xr10:uidLastSave="{00000000-0000-0000-0000-000000000000}"/>
  <workbookProtection workbookAlgorithmName="SHA-512" workbookHashValue="IgfUagQBFlwMOu7mgNAayAxJrLZGp0aPTZUIOukqUDzvuIwSu3ESg+G+pQjLTPSX9imtvwdiytVX7//qxcxtrA==" workbookSaltValue="kbZ4PETVQq627jnXw1bXUQ==" workbookSpinCount="100000" lockStructure="1"/>
  <bookViews>
    <workbookView xWindow="-120" yWindow="-120" windowWidth="29040" windowHeight="15840" xr2:uid="{474DB6BD-D9A6-4D3F-BA3E-5E21BEC50891}"/>
  </bookViews>
  <sheets>
    <sheet name="ZU po 5.ZR a RORM 1-170" sheetId="1" r:id="rId1"/>
  </sheets>
  <definedNames>
    <definedName name="__DdeLink__9289_5144441" localSheetId="0">'ZU po 5.ZR a RORM 1-170'!#REF!</definedName>
    <definedName name="_xlnm.Print_Titles" localSheetId="0">'ZU po 5.ZR a RORM 1-170'!$1:$2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18" i="1" l="1"/>
  <c r="AD418" i="1"/>
  <c r="AD417" i="1"/>
  <c r="Z418" i="1"/>
  <c r="AB418" i="1"/>
  <c r="AC415" i="1"/>
  <c r="AB415" i="1"/>
  <c r="AC414" i="1"/>
  <c r="AC404" i="1"/>
  <c r="AC403" i="1"/>
  <c r="AC397" i="1"/>
  <c r="AC393" i="1"/>
  <c r="AC389" i="1"/>
  <c r="AC381" i="1"/>
  <c r="AC374" i="1"/>
  <c r="AC368" i="1"/>
  <c r="AC360" i="1"/>
  <c r="AC355" i="1"/>
  <c r="AC334" i="1"/>
  <c r="AC330" i="1"/>
  <c r="AC324" i="1"/>
  <c r="AC314" i="1"/>
  <c r="AC308" i="1"/>
  <c r="AC305" i="1"/>
  <c r="AC302" i="1"/>
  <c r="AC296" i="1"/>
  <c r="AC298" i="1"/>
  <c r="AC301" i="1"/>
  <c r="AC291" i="1"/>
  <c r="AC286" i="1"/>
  <c r="AC263" i="1"/>
  <c r="AC259" i="1"/>
  <c r="AC209" i="1"/>
  <c r="AC199" i="1"/>
  <c r="AC186" i="1"/>
  <c r="AD93" i="1"/>
  <c r="AC93" i="1"/>
  <c r="AC91" i="1"/>
  <c r="AC70" i="1" s="1"/>
  <c r="AC65" i="1"/>
  <c r="AC59" i="1"/>
  <c r="AC51" i="1"/>
  <c r="AC45" i="1"/>
  <c r="AC23" i="1"/>
  <c r="AC19" i="1"/>
  <c r="AC8" i="1"/>
  <c r="AC6" i="1"/>
  <c r="AC9" i="1" s="1"/>
  <c r="AC20" i="1" s="1"/>
  <c r="AA162" i="1"/>
  <c r="AD91" i="1" l="1"/>
  <c r="AD311" i="1"/>
  <c r="AB376" i="1"/>
  <c r="AB377" i="1"/>
  <c r="AB55" i="1"/>
  <c r="AB8" i="1"/>
  <c r="AA88" i="1"/>
  <c r="AD88" i="1" s="1"/>
  <c r="AA87" i="1"/>
  <c r="AD87" i="1" s="1"/>
  <c r="AA8" i="1"/>
  <c r="AA273" i="1"/>
  <c r="AA201" i="1"/>
  <c r="AA198" i="1"/>
  <c r="AA188" i="1"/>
  <c r="AA344" i="1"/>
  <c r="AD344" i="1" s="1"/>
  <c r="AA98" i="1"/>
  <c r="AD98" i="1" s="1"/>
  <c r="AA97" i="1"/>
  <c r="AD97" i="1" s="1"/>
  <c r="AA379" i="1"/>
  <c r="AA377" i="1"/>
  <c r="AA351" i="1"/>
  <c r="AD351" i="1" s="1"/>
  <c r="AA350" i="1"/>
  <c r="AD350" i="1" s="1"/>
  <c r="AA328" i="1"/>
  <c r="AA262" i="1"/>
  <c r="AA152" i="1"/>
  <c r="AA148" i="1"/>
  <c r="AA147" i="1"/>
  <c r="AA145" i="1"/>
  <c r="AA143" i="1"/>
  <c r="AA142" i="1"/>
  <c r="AA140" i="1"/>
  <c r="AA81" i="1"/>
  <c r="AD81" i="1" s="1"/>
  <c r="AA80" i="1"/>
  <c r="AD80" i="1" s="1"/>
  <c r="AA125" i="1"/>
  <c r="AD125" i="1" s="1"/>
  <c r="AA124" i="1"/>
  <c r="AD124" i="1" s="1"/>
  <c r="AA116" i="1"/>
  <c r="AD116" i="1" s="1"/>
  <c r="AA62" i="1"/>
  <c r="AA64" i="1"/>
  <c r="AA6" i="1"/>
  <c r="AB185" i="1"/>
  <c r="AB111" i="1"/>
  <c r="AD111" i="1" s="1"/>
  <c r="AB112" i="1"/>
  <c r="AB50" i="1" l="1"/>
  <c r="AB412" i="1" l="1"/>
  <c r="AB411" i="1"/>
  <c r="AB397" i="1"/>
  <c r="AB396" i="1"/>
  <c r="AB393" i="1" s="1"/>
  <c r="AB389" i="1"/>
  <c r="AB385" i="1"/>
  <c r="AB386" i="1"/>
  <c r="AB379" i="1"/>
  <c r="AB372" i="1"/>
  <c r="AB365" i="1"/>
  <c r="AB364" i="1"/>
  <c r="AB363" i="1"/>
  <c r="AB358" i="1"/>
  <c r="AB355" i="1" s="1"/>
  <c r="AB330" i="1"/>
  <c r="AB329" i="1"/>
  <c r="AB328" i="1"/>
  <c r="AB322" i="1"/>
  <c r="AB321" i="1"/>
  <c r="AB308" i="1"/>
  <c r="AB305" i="1"/>
  <c r="AB301" i="1"/>
  <c r="AB296" i="1" s="1"/>
  <c r="AB295" i="1"/>
  <c r="AB291" i="1" s="1"/>
  <c r="AB290" i="1"/>
  <c r="AB286" i="1" s="1"/>
  <c r="AB387" i="1"/>
  <c r="AB283" i="1"/>
  <c r="AB266" i="1"/>
  <c r="AB279" i="1"/>
  <c r="AB285" i="1"/>
  <c r="AB259" i="1"/>
  <c r="AB258" i="1"/>
  <c r="AB241" i="1"/>
  <c r="AB219" i="1"/>
  <c r="AB218" i="1"/>
  <c r="AB215" i="1"/>
  <c r="AB208" i="1"/>
  <c r="AB203" i="1"/>
  <c r="AB204" i="1"/>
  <c r="AB202" i="1"/>
  <c r="AB349" i="1"/>
  <c r="AB341" i="1"/>
  <c r="AB334" i="1" s="1"/>
  <c r="AB115" i="1"/>
  <c r="AB121" i="1"/>
  <c r="AB130" i="1"/>
  <c r="AB117" i="1"/>
  <c r="AB78" i="1"/>
  <c r="AB140" i="1"/>
  <c r="AB198" i="1"/>
  <c r="AB188" i="1"/>
  <c r="AB69" i="1"/>
  <c r="AB65" i="1" s="1"/>
  <c r="AB64" i="1"/>
  <c r="AB62" i="1"/>
  <c r="AB57" i="1"/>
  <c r="AB23" i="1"/>
  <c r="AB18" i="1"/>
  <c r="AB15" i="1"/>
  <c r="AB95" i="1"/>
  <c r="AB86" i="1"/>
  <c r="AB6" i="1"/>
  <c r="AA320" i="1"/>
  <c r="AA73" i="1"/>
  <c r="AA185" i="1"/>
  <c r="AA414" i="1"/>
  <c r="AA397" i="1"/>
  <c r="AA396" i="1"/>
  <c r="AA393" i="1" s="1"/>
  <c r="AA389" i="1"/>
  <c r="AA381" i="1"/>
  <c r="AA368" i="1"/>
  <c r="AA360" i="1"/>
  <c r="AA358" i="1"/>
  <c r="AA355" i="1" s="1"/>
  <c r="AA334" i="1"/>
  <c r="AA330" i="1"/>
  <c r="AA317" i="1"/>
  <c r="AA308" i="1"/>
  <c r="AA305" i="1"/>
  <c r="AA296" i="1"/>
  <c r="AA295" i="1"/>
  <c r="AA294" i="1"/>
  <c r="AA286" i="1"/>
  <c r="AA263" i="1"/>
  <c r="AA259" i="1"/>
  <c r="AA209" i="1"/>
  <c r="AA208" i="1"/>
  <c r="AA199" i="1" s="1"/>
  <c r="AA183" i="1"/>
  <c r="AD183" i="1" s="1"/>
  <c r="AA84" i="1"/>
  <c r="AD84" i="1" s="1"/>
  <c r="AA83" i="1"/>
  <c r="AD83" i="1" s="1"/>
  <c r="AA65" i="1"/>
  <c r="AA51" i="1"/>
  <c r="AA48" i="1"/>
  <c r="AA45" i="1" s="1"/>
  <c r="AA35" i="1"/>
  <c r="AA34" i="1"/>
  <c r="AA44" i="1"/>
  <c r="AA19" i="1"/>
  <c r="AB368" i="1" l="1"/>
  <c r="AD372" i="1"/>
  <c r="AB186" i="1"/>
  <c r="AB414" i="1"/>
  <c r="AB324" i="1"/>
  <c r="AB381" i="1"/>
  <c r="AA291" i="1"/>
  <c r="AB374" i="1"/>
  <c r="AA9" i="1"/>
  <c r="AA20" i="1" s="1"/>
  <c r="AB360" i="1"/>
  <c r="AB199" i="1"/>
  <c r="AB314" i="1"/>
  <c r="AB19" i="1"/>
  <c r="AB51" i="1"/>
  <c r="AA59" i="1"/>
  <c r="AA374" i="1"/>
  <c r="AA186" i="1"/>
  <c r="AB59" i="1"/>
  <c r="AB263" i="1"/>
  <c r="AB209" i="1"/>
  <c r="AB70" i="1"/>
  <c r="AB45" i="1"/>
  <c r="AA314" i="1"/>
  <c r="AA70" i="1"/>
  <c r="AA324" i="1"/>
  <c r="AA23" i="1"/>
  <c r="AB7" i="1"/>
  <c r="AB5" i="1"/>
  <c r="AB403" i="1" l="1"/>
  <c r="AB302" i="1"/>
  <c r="AB9" i="1"/>
  <c r="AB20" i="1" s="1"/>
  <c r="AA403" i="1"/>
  <c r="AA302" i="1"/>
  <c r="Y377" i="1"/>
  <c r="Y358" i="1"/>
  <c r="Y328" i="1"/>
  <c r="Y317" i="1"/>
  <c r="Y262" i="1"/>
  <c r="Y220" i="1"/>
  <c r="Y216" i="1"/>
  <c r="Y222" i="1"/>
  <c r="Z222" i="1" s="1"/>
  <c r="AD222" i="1" s="1"/>
  <c r="Y208" i="1"/>
  <c r="Y188" i="1"/>
  <c r="Y104" i="1"/>
  <c r="Z104" i="1" s="1"/>
  <c r="AD104" i="1" s="1"/>
  <c r="Y102" i="1"/>
  <c r="Z102" i="1" s="1"/>
  <c r="AD102" i="1" s="1"/>
  <c r="Y62" i="1"/>
  <c r="Y64" i="1"/>
  <c r="Y8" i="1"/>
  <c r="Y6" i="1"/>
  <c r="AB404" i="1" l="1"/>
  <c r="AA404" i="1"/>
  <c r="AA415" i="1" s="1"/>
  <c r="R418" i="1"/>
  <c r="Q418" i="1"/>
  <c r="P418" i="1"/>
  <c r="O418" i="1"/>
  <c r="M418" i="1"/>
  <c r="L418" i="1"/>
  <c r="J418" i="1"/>
  <c r="I418" i="1"/>
  <c r="H418" i="1"/>
  <c r="G418" i="1"/>
  <c r="F418" i="1"/>
  <c r="D418" i="1"/>
  <c r="C418" i="1"/>
  <c r="S417" i="1"/>
  <c r="K417" i="1"/>
  <c r="E417" i="1"/>
  <c r="E418" i="1" s="1"/>
  <c r="Y414" i="1"/>
  <c r="V414" i="1"/>
  <c r="U414" i="1"/>
  <c r="T414" i="1"/>
  <c r="R414" i="1"/>
  <c r="Q414" i="1"/>
  <c r="O414" i="1"/>
  <c r="L414" i="1"/>
  <c r="J414" i="1"/>
  <c r="I414" i="1"/>
  <c r="G414" i="1"/>
  <c r="F414" i="1"/>
  <c r="D414" i="1"/>
  <c r="C414" i="1"/>
  <c r="X413" i="1"/>
  <c r="X414" i="1" s="1"/>
  <c r="P413" i="1"/>
  <c r="S413" i="1" s="1"/>
  <c r="W413" i="1" s="1"/>
  <c r="E413" i="1"/>
  <c r="H413" i="1" s="1"/>
  <c r="K413" i="1" s="1"/>
  <c r="N413" i="1" s="1"/>
  <c r="P412" i="1"/>
  <c r="S412" i="1" s="1"/>
  <c r="W412" i="1" s="1"/>
  <c r="Z412" i="1" s="1"/>
  <c r="AD412" i="1" s="1"/>
  <c r="E412" i="1"/>
  <c r="H412" i="1" s="1"/>
  <c r="K412" i="1" s="1"/>
  <c r="M412" i="1" s="1"/>
  <c r="P411" i="1"/>
  <c r="S411" i="1" s="1"/>
  <c r="W411" i="1" s="1"/>
  <c r="Z411" i="1" s="1"/>
  <c r="AD411" i="1" s="1"/>
  <c r="E411" i="1"/>
  <c r="H411" i="1" s="1"/>
  <c r="K411" i="1" s="1"/>
  <c r="M411" i="1" s="1"/>
  <c r="P410" i="1"/>
  <c r="S410" i="1" s="1"/>
  <c r="W410" i="1" s="1"/>
  <c r="Z410" i="1" s="1"/>
  <c r="AD410" i="1" s="1"/>
  <c r="E410" i="1"/>
  <c r="H410" i="1" s="1"/>
  <c r="K410" i="1" s="1"/>
  <c r="M410" i="1" s="1"/>
  <c r="P409" i="1"/>
  <c r="S409" i="1" s="1"/>
  <c r="W409" i="1" s="1"/>
  <c r="Z409" i="1" s="1"/>
  <c r="AD409" i="1" s="1"/>
  <c r="E409" i="1"/>
  <c r="H409" i="1" s="1"/>
  <c r="K409" i="1" s="1"/>
  <c r="M409" i="1" s="1"/>
  <c r="P408" i="1"/>
  <c r="S408" i="1" s="1"/>
  <c r="W408" i="1" s="1"/>
  <c r="Z408" i="1" s="1"/>
  <c r="AD408" i="1" s="1"/>
  <c r="E408" i="1"/>
  <c r="H408" i="1" s="1"/>
  <c r="K408" i="1" s="1"/>
  <c r="M408" i="1" s="1"/>
  <c r="P407" i="1"/>
  <c r="S407" i="1" s="1"/>
  <c r="E407" i="1"/>
  <c r="H407" i="1" s="1"/>
  <c r="K407" i="1" s="1"/>
  <c r="R402" i="1"/>
  <c r="S402" i="1" s="1"/>
  <c r="W402" i="1" s="1"/>
  <c r="Z402" i="1" s="1"/>
  <c r="AD402" i="1" s="1"/>
  <c r="P401" i="1"/>
  <c r="S401" i="1" s="1"/>
  <c r="W401" i="1" s="1"/>
  <c r="Z401" i="1" s="1"/>
  <c r="AD401" i="1" s="1"/>
  <c r="E401" i="1"/>
  <c r="H401" i="1" s="1"/>
  <c r="K401" i="1" s="1"/>
  <c r="P400" i="1"/>
  <c r="S400" i="1" s="1"/>
  <c r="W400" i="1" s="1"/>
  <c r="Z400" i="1" s="1"/>
  <c r="AD400" i="1" s="1"/>
  <c r="J400" i="1"/>
  <c r="J397" i="1" s="1"/>
  <c r="G400" i="1"/>
  <c r="G397" i="1" s="1"/>
  <c r="E400" i="1"/>
  <c r="P399" i="1"/>
  <c r="S399" i="1" s="1"/>
  <c r="E399" i="1"/>
  <c r="H399" i="1" s="1"/>
  <c r="K399" i="1" s="1"/>
  <c r="M399" i="1" s="1"/>
  <c r="Y397" i="1"/>
  <c r="X397" i="1"/>
  <c r="V397" i="1"/>
  <c r="U397" i="1"/>
  <c r="T397" i="1"/>
  <c r="Q397" i="1"/>
  <c r="O397" i="1"/>
  <c r="L397" i="1"/>
  <c r="I397" i="1"/>
  <c r="F397" i="1"/>
  <c r="D397" i="1"/>
  <c r="C397" i="1"/>
  <c r="Y396" i="1"/>
  <c r="Y393" i="1" s="1"/>
  <c r="V396" i="1"/>
  <c r="V393" i="1" s="1"/>
  <c r="R396" i="1"/>
  <c r="R393" i="1" s="1"/>
  <c r="P396" i="1"/>
  <c r="J396" i="1"/>
  <c r="J393" i="1" s="1"/>
  <c r="G396" i="1"/>
  <c r="G393" i="1" s="1"/>
  <c r="D396" i="1"/>
  <c r="P395" i="1"/>
  <c r="E395" i="1"/>
  <c r="H395" i="1" s="1"/>
  <c r="X393" i="1"/>
  <c r="U393" i="1"/>
  <c r="T393" i="1"/>
  <c r="Q393" i="1"/>
  <c r="O393" i="1"/>
  <c r="L393" i="1"/>
  <c r="I393" i="1"/>
  <c r="F393" i="1"/>
  <c r="C393" i="1"/>
  <c r="R392" i="1"/>
  <c r="P392" i="1"/>
  <c r="E392" i="1"/>
  <c r="H392" i="1" s="1"/>
  <c r="K392" i="1" s="1"/>
  <c r="P391" i="1"/>
  <c r="S391" i="1" s="1"/>
  <c r="E391" i="1"/>
  <c r="H391" i="1" s="1"/>
  <c r="Y389" i="1"/>
  <c r="X389" i="1"/>
  <c r="V389" i="1"/>
  <c r="U389" i="1"/>
  <c r="T389" i="1"/>
  <c r="Q389" i="1"/>
  <c r="O389" i="1"/>
  <c r="L389" i="1"/>
  <c r="J389" i="1"/>
  <c r="I389" i="1"/>
  <c r="G389" i="1"/>
  <c r="F389" i="1"/>
  <c r="D389" i="1"/>
  <c r="C389" i="1"/>
  <c r="P388" i="1"/>
  <c r="S388" i="1" s="1"/>
  <c r="W388" i="1" s="1"/>
  <c r="Z388" i="1" s="1"/>
  <c r="AD388" i="1" s="1"/>
  <c r="E388" i="1"/>
  <c r="H388" i="1" s="1"/>
  <c r="K388" i="1" s="1"/>
  <c r="M388" i="1" s="1"/>
  <c r="S387" i="1"/>
  <c r="W387" i="1" s="1"/>
  <c r="Z387" i="1" s="1"/>
  <c r="AD387" i="1" s="1"/>
  <c r="O386" i="1"/>
  <c r="P386" i="1" s="1"/>
  <c r="S386" i="1" s="1"/>
  <c r="W386" i="1" s="1"/>
  <c r="Z386" i="1" s="1"/>
  <c r="AD386" i="1" s="1"/>
  <c r="J386" i="1"/>
  <c r="G386" i="1"/>
  <c r="E386" i="1"/>
  <c r="P385" i="1"/>
  <c r="S385" i="1" s="1"/>
  <c r="W385" i="1" s="1"/>
  <c r="Z385" i="1" s="1"/>
  <c r="AD385" i="1" s="1"/>
  <c r="J385" i="1"/>
  <c r="G385" i="1"/>
  <c r="E385" i="1"/>
  <c r="P384" i="1"/>
  <c r="S384" i="1" s="1"/>
  <c r="W384" i="1" s="1"/>
  <c r="Z384" i="1" s="1"/>
  <c r="AD384" i="1" s="1"/>
  <c r="E384" i="1"/>
  <c r="H384" i="1" s="1"/>
  <c r="K384" i="1" s="1"/>
  <c r="P383" i="1"/>
  <c r="S383" i="1" s="1"/>
  <c r="E383" i="1"/>
  <c r="H383" i="1" s="1"/>
  <c r="K383" i="1" s="1"/>
  <c r="M383" i="1" s="1"/>
  <c r="Y381" i="1"/>
  <c r="X381" i="1"/>
  <c r="V381" i="1"/>
  <c r="U381" i="1"/>
  <c r="T381" i="1"/>
  <c r="R381" i="1"/>
  <c r="Q381" i="1"/>
  <c r="L381" i="1"/>
  <c r="I381" i="1"/>
  <c r="F381" i="1"/>
  <c r="D381" i="1"/>
  <c r="C381" i="1"/>
  <c r="P380" i="1"/>
  <c r="S380" i="1" s="1"/>
  <c r="W380" i="1" s="1"/>
  <c r="Z380" i="1" s="1"/>
  <c r="AD380" i="1" s="1"/>
  <c r="E380" i="1"/>
  <c r="H380" i="1" s="1"/>
  <c r="K380" i="1" s="1"/>
  <c r="M380" i="1" s="1"/>
  <c r="R379" i="1"/>
  <c r="P379" i="1"/>
  <c r="E379" i="1"/>
  <c r="H379" i="1" s="1"/>
  <c r="K379" i="1" s="1"/>
  <c r="M379" i="1" s="1"/>
  <c r="R378" i="1"/>
  <c r="P378" i="1"/>
  <c r="J378" i="1"/>
  <c r="E378" i="1"/>
  <c r="H378" i="1" s="1"/>
  <c r="Y374" i="1"/>
  <c r="X377" i="1"/>
  <c r="X374" i="1" s="1"/>
  <c r="V377" i="1"/>
  <c r="V374" i="1" s="1"/>
  <c r="R377" i="1"/>
  <c r="O377" i="1"/>
  <c r="P377" i="1" s="1"/>
  <c r="J377" i="1"/>
  <c r="G377" i="1"/>
  <c r="G374" i="1" s="1"/>
  <c r="D377" i="1"/>
  <c r="E377" i="1" s="1"/>
  <c r="P376" i="1"/>
  <c r="S376" i="1" s="1"/>
  <c r="D376" i="1"/>
  <c r="E376" i="1" s="1"/>
  <c r="H376" i="1" s="1"/>
  <c r="U374" i="1"/>
  <c r="T374" i="1"/>
  <c r="Q374" i="1"/>
  <c r="L374" i="1"/>
  <c r="I374" i="1"/>
  <c r="F374" i="1"/>
  <c r="C374" i="1"/>
  <c r="P373" i="1"/>
  <c r="S373" i="1" s="1"/>
  <c r="W373" i="1" s="1"/>
  <c r="Z373" i="1" s="1"/>
  <c r="AD373" i="1" s="1"/>
  <c r="E373" i="1"/>
  <c r="H373" i="1" s="1"/>
  <c r="K373" i="1" s="1"/>
  <c r="M373" i="1" s="1"/>
  <c r="P371" i="1"/>
  <c r="S371" i="1" s="1"/>
  <c r="W371" i="1" s="1"/>
  <c r="Z371" i="1" s="1"/>
  <c r="AD371" i="1" s="1"/>
  <c r="E371" i="1"/>
  <c r="H371" i="1" s="1"/>
  <c r="K371" i="1" s="1"/>
  <c r="P370" i="1"/>
  <c r="E370" i="1"/>
  <c r="H370" i="1" s="1"/>
  <c r="K370" i="1" s="1"/>
  <c r="M370" i="1" s="1"/>
  <c r="Y368" i="1"/>
  <c r="X368" i="1"/>
  <c r="V368" i="1"/>
  <c r="U368" i="1"/>
  <c r="T368" i="1"/>
  <c r="R368" i="1"/>
  <c r="Q368" i="1"/>
  <c r="O368" i="1"/>
  <c r="L368" i="1"/>
  <c r="J368" i="1"/>
  <c r="I368" i="1"/>
  <c r="G368" i="1"/>
  <c r="F368" i="1"/>
  <c r="D368" i="1"/>
  <c r="C368" i="1"/>
  <c r="P367" i="1"/>
  <c r="S367" i="1" s="1"/>
  <c r="W367" i="1" s="1"/>
  <c r="Z367" i="1" s="1"/>
  <c r="AD367" i="1" s="1"/>
  <c r="E367" i="1"/>
  <c r="H367" i="1" s="1"/>
  <c r="K367" i="1" s="1"/>
  <c r="M367" i="1" s="1"/>
  <c r="S366" i="1"/>
  <c r="W366" i="1" s="1"/>
  <c r="Z366" i="1" s="1"/>
  <c r="AD366" i="1" s="1"/>
  <c r="P365" i="1"/>
  <c r="S365" i="1" s="1"/>
  <c r="W365" i="1" s="1"/>
  <c r="Z365" i="1" s="1"/>
  <c r="AD365" i="1" s="1"/>
  <c r="E365" i="1"/>
  <c r="H365" i="1" s="1"/>
  <c r="K365" i="1" s="1"/>
  <c r="X364" i="1"/>
  <c r="X360" i="1" s="1"/>
  <c r="P364" i="1"/>
  <c r="S364" i="1" s="1"/>
  <c r="W364" i="1" s="1"/>
  <c r="E364" i="1"/>
  <c r="H364" i="1" s="1"/>
  <c r="K364" i="1" s="1"/>
  <c r="Y363" i="1"/>
  <c r="Y360" i="1" s="1"/>
  <c r="V363" i="1"/>
  <c r="V360" i="1" s="1"/>
  <c r="O363" i="1"/>
  <c r="G363" i="1"/>
  <c r="G360" i="1" s="1"/>
  <c r="E363" i="1"/>
  <c r="P362" i="1"/>
  <c r="S362" i="1" s="1"/>
  <c r="E362" i="1"/>
  <c r="H362" i="1" s="1"/>
  <c r="K362" i="1" s="1"/>
  <c r="M362" i="1" s="1"/>
  <c r="U360" i="1"/>
  <c r="T360" i="1"/>
  <c r="R360" i="1"/>
  <c r="Q360" i="1"/>
  <c r="L360" i="1"/>
  <c r="J360" i="1"/>
  <c r="I360" i="1"/>
  <c r="F360" i="1"/>
  <c r="D360" i="1"/>
  <c r="C360" i="1"/>
  <c r="P359" i="1"/>
  <c r="S359" i="1" s="1"/>
  <c r="W359" i="1" s="1"/>
  <c r="Z359" i="1" s="1"/>
  <c r="AD359" i="1" s="1"/>
  <c r="E359" i="1"/>
  <c r="H359" i="1" s="1"/>
  <c r="K359" i="1" s="1"/>
  <c r="M359" i="1" s="1"/>
  <c r="X358" i="1"/>
  <c r="X355" i="1" s="1"/>
  <c r="V358" i="1"/>
  <c r="V355" i="1" s="1"/>
  <c r="R358" i="1"/>
  <c r="R355" i="1" s="1"/>
  <c r="O358" i="1"/>
  <c r="J358" i="1"/>
  <c r="J355" i="1" s="1"/>
  <c r="G358" i="1"/>
  <c r="G355" i="1" s="1"/>
  <c r="E358" i="1"/>
  <c r="P357" i="1"/>
  <c r="S357" i="1" s="1"/>
  <c r="E357" i="1"/>
  <c r="H357" i="1" s="1"/>
  <c r="K357" i="1" s="1"/>
  <c r="M357" i="1" s="1"/>
  <c r="Y355" i="1"/>
  <c r="U355" i="1"/>
  <c r="T355" i="1"/>
  <c r="Q355" i="1"/>
  <c r="L355" i="1"/>
  <c r="I355" i="1"/>
  <c r="F355" i="1"/>
  <c r="D355" i="1"/>
  <c r="C355" i="1"/>
  <c r="P354" i="1"/>
  <c r="S354" i="1" s="1"/>
  <c r="W354" i="1" s="1"/>
  <c r="Z354" i="1" s="1"/>
  <c r="AD354" i="1" s="1"/>
  <c r="E354" i="1"/>
  <c r="H354" i="1" s="1"/>
  <c r="K354" i="1" s="1"/>
  <c r="M354" i="1" s="1"/>
  <c r="V353" i="1"/>
  <c r="X352" i="1"/>
  <c r="X334" i="1" s="1"/>
  <c r="W352" i="1"/>
  <c r="S349" i="1"/>
  <c r="W349" i="1" s="1"/>
  <c r="Z349" i="1" s="1"/>
  <c r="AD349" i="1" s="1"/>
  <c r="S348" i="1"/>
  <c r="W348" i="1" s="1"/>
  <c r="Z348" i="1" s="1"/>
  <c r="AD348" i="1" s="1"/>
  <c r="S347" i="1"/>
  <c r="W347" i="1" s="1"/>
  <c r="Z347" i="1" s="1"/>
  <c r="AD347" i="1" s="1"/>
  <c r="S346" i="1"/>
  <c r="W346" i="1" s="1"/>
  <c r="Z346" i="1" s="1"/>
  <c r="AD346" i="1" s="1"/>
  <c r="S345" i="1"/>
  <c r="W345" i="1" s="1"/>
  <c r="Z345" i="1" s="1"/>
  <c r="AD345" i="1" s="1"/>
  <c r="S343" i="1"/>
  <c r="W343" i="1" s="1"/>
  <c r="Z343" i="1" s="1"/>
  <c r="AD343" i="1" s="1"/>
  <c r="P342" i="1"/>
  <c r="S342" i="1" s="1"/>
  <c r="W342" i="1" s="1"/>
  <c r="Z342" i="1" s="1"/>
  <c r="AD342" i="1" s="1"/>
  <c r="M342" i="1"/>
  <c r="S341" i="1"/>
  <c r="W341" i="1" s="1"/>
  <c r="Z341" i="1" s="1"/>
  <c r="AD341" i="1" s="1"/>
  <c r="W340" i="1"/>
  <c r="Z340" i="1" s="1"/>
  <c r="AD340" i="1" s="1"/>
  <c r="W339" i="1"/>
  <c r="Z339" i="1" s="1"/>
  <c r="AD339" i="1" s="1"/>
  <c r="S338" i="1"/>
  <c r="W338" i="1" s="1"/>
  <c r="Z338" i="1" s="1"/>
  <c r="AD338" i="1" s="1"/>
  <c r="Y337" i="1"/>
  <c r="Y334" i="1" s="1"/>
  <c r="R337" i="1"/>
  <c r="R334" i="1" s="1"/>
  <c r="P337" i="1"/>
  <c r="G337" i="1"/>
  <c r="D337" i="1"/>
  <c r="E337" i="1" s="1"/>
  <c r="P336" i="1"/>
  <c r="E336" i="1"/>
  <c r="H336" i="1" s="1"/>
  <c r="K336" i="1" s="1"/>
  <c r="M336" i="1" s="1"/>
  <c r="U334" i="1"/>
  <c r="T334" i="1"/>
  <c r="Q334" i="1"/>
  <c r="O334" i="1"/>
  <c r="L334" i="1"/>
  <c r="J334" i="1"/>
  <c r="I334" i="1"/>
  <c r="F334" i="1"/>
  <c r="C334" i="1"/>
  <c r="P333" i="1"/>
  <c r="S333" i="1" s="1"/>
  <c r="W333" i="1" s="1"/>
  <c r="Z333" i="1" s="1"/>
  <c r="AD333" i="1" s="1"/>
  <c r="E333" i="1"/>
  <c r="H333" i="1" s="1"/>
  <c r="K333" i="1" s="1"/>
  <c r="M333" i="1" s="1"/>
  <c r="P332" i="1"/>
  <c r="S332" i="1" s="1"/>
  <c r="E332" i="1"/>
  <c r="H332" i="1" s="1"/>
  <c r="K332" i="1" s="1"/>
  <c r="M332" i="1" s="1"/>
  <c r="Y330" i="1"/>
  <c r="X330" i="1"/>
  <c r="V330" i="1"/>
  <c r="U330" i="1"/>
  <c r="T330" i="1"/>
  <c r="R330" i="1"/>
  <c r="Q330" i="1"/>
  <c r="O330" i="1"/>
  <c r="L330" i="1"/>
  <c r="J330" i="1"/>
  <c r="I330" i="1"/>
  <c r="G330" i="1"/>
  <c r="F330" i="1"/>
  <c r="D330" i="1"/>
  <c r="C330" i="1"/>
  <c r="X329" i="1"/>
  <c r="R329" i="1"/>
  <c r="O329" i="1"/>
  <c r="P329" i="1" s="1"/>
  <c r="D329" i="1"/>
  <c r="E329" i="1" s="1"/>
  <c r="H329" i="1" s="1"/>
  <c r="K329" i="1" s="1"/>
  <c r="Y324" i="1"/>
  <c r="X328" i="1"/>
  <c r="V328" i="1"/>
  <c r="V324" i="1" s="1"/>
  <c r="R328" i="1"/>
  <c r="O328" i="1"/>
  <c r="J328" i="1"/>
  <c r="J324" i="1" s="1"/>
  <c r="G328" i="1"/>
  <c r="G324" i="1" s="1"/>
  <c r="D328" i="1"/>
  <c r="P327" i="1"/>
  <c r="S327" i="1" s="1"/>
  <c r="E327" i="1"/>
  <c r="H327" i="1" s="1"/>
  <c r="K327" i="1" s="1"/>
  <c r="M327" i="1" s="1"/>
  <c r="U326" i="1"/>
  <c r="W326" i="1" s="1"/>
  <c r="T324" i="1"/>
  <c r="Q324" i="1"/>
  <c r="L324" i="1"/>
  <c r="I324" i="1"/>
  <c r="F324" i="1"/>
  <c r="C324" i="1"/>
  <c r="P323" i="1"/>
  <c r="S323" i="1" s="1"/>
  <c r="W323" i="1" s="1"/>
  <c r="Z323" i="1" s="1"/>
  <c r="AD323" i="1" s="1"/>
  <c r="E323" i="1"/>
  <c r="H323" i="1" s="1"/>
  <c r="K323" i="1" s="1"/>
  <c r="M323" i="1" s="1"/>
  <c r="P322" i="1"/>
  <c r="S322" i="1" s="1"/>
  <c r="W322" i="1" s="1"/>
  <c r="Z322" i="1" s="1"/>
  <c r="AD322" i="1" s="1"/>
  <c r="H322" i="1"/>
  <c r="K322" i="1" s="1"/>
  <c r="P321" i="1"/>
  <c r="S321" i="1" s="1"/>
  <c r="W321" i="1" s="1"/>
  <c r="Z321" i="1" s="1"/>
  <c r="AD321" i="1" s="1"/>
  <c r="J321" i="1"/>
  <c r="H321" i="1"/>
  <c r="Y320" i="1"/>
  <c r="V320" i="1"/>
  <c r="P320" i="1"/>
  <c r="S320" i="1" s="1"/>
  <c r="J320" i="1"/>
  <c r="E320" i="1"/>
  <c r="H320" i="1" s="1"/>
  <c r="Y319" i="1"/>
  <c r="V319" i="1"/>
  <c r="R319" i="1"/>
  <c r="O319" i="1"/>
  <c r="P319" i="1" s="1"/>
  <c r="J319" i="1"/>
  <c r="E319" i="1"/>
  <c r="H319" i="1" s="1"/>
  <c r="V318" i="1"/>
  <c r="R318" i="1"/>
  <c r="O318" i="1"/>
  <c r="P318" i="1" s="1"/>
  <c r="J318" i="1"/>
  <c r="G318" i="1"/>
  <c r="E318" i="1"/>
  <c r="V317" i="1"/>
  <c r="P317" i="1"/>
  <c r="S317" i="1" s="1"/>
  <c r="J317" i="1"/>
  <c r="E317" i="1"/>
  <c r="H317" i="1" s="1"/>
  <c r="Y316" i="1"/>
  <c r="V316" i="1"/>
  <c r="R316" i="1"/>
  <c r="P316" i="1"/>
  <c r="J316" i="1"/>
  <c r="G316" i="1"/>
  <c r="E316" i="1"/>
  <c r="X314" i="1"/>
  <c r="U314" i="1"/>
  <c r="T314" i="1"/>
  <c r="Q314" i="1"/>
  <c r="L314" i="1"/>
  <c r="I314" i="1"/>
  <c r="F314" i="1"/>
  <c r="D314" i="1"/>
  <c r="C314" i="1"/>
  <c r="P313" i="1"/>
  <c r="S313" i="1" s="1"/>
  <c r="W313" i="1" s="1"/>
  <c r="Z313" i="1" s="1"/>
  <c r="AD313" i="1" s="1"/>
  <c r="E313" i="1"/>
  <c r="H313" i="1" s="1"/>
  <c r="K313" i="1" s="1"/>
  <c r="M313" i="1" s="1"/>
  <c r="O312" i="1"/>
  <c r="J312" i="1"/>
  <c r="J308" i="1" s="1"/>
  <c r="E312" i="1"/>
  <c r="H312" i="1" s="1"/>
  <c r="P311" i="1"/>
  <c r="S311" i="1" s="1"/>
  <c r="W311" i="1" s="1"/>
  <c r="E311" i="1"/>
  <c r="H311" i="1" s="1"/>
  <c r="K311" i="1" s="1"/>
  <c r="M311" i="1" s="1"/>
  <c r="P310" i="1"/>
  <c r="E310" i="1"/>
  <c r="H310" i="1" s="1"/>
  <c r="Y308" i="1"/>
  <c r="X308" i="1"/>
  <c r="V308" i="1"/>
  <c r="U308" i="1"/>
  <c r="T308" i="1"/>
  <c r="R308" i="1"/>
  <c r="Q308" i="1"/>
  <c r="L308" i="1"/>
  <c r="I308" i="1"/>
  <c r="G308" i="1"/>
  <c r="F308" i="1"/>
  <c r="D308" i="1"/>
  <c r="C308" i="1"/>
  <c r="P307" i="1"/>
  <c r="E307" i="1"/>
  <c r="H307" i="1" s="1"/>
  <c r="Y305" i="1"/>
  <c r="X305" i="1"/>
  <c r="V305" i="1"/>
  <c r="U305" i="1"/>
  <c r="T305" i="1"/>
  <c r="R305" i="1"/>
  <c r="Q305" i="1"/>
  <c r="O305" i="1"/>
  <c r="L305" i="1"/>
  <c r="J305" i="1"/>
  <c r="I305" i="1"/>
  <c r="G305" i="1"/>
  <c r="F305" i="1"/>
  <c r="D305" i="1"/>
  <c r="C305" i="1"/>
  <c r="W301" i="1"/>
  <c r="Z301" i="1" s="1"/>
  <c r="AD301" i="1" s="1"/>
  <c r="V301" i="1"/>
  <c r="R301" i="1"/>
  <c r="R296" i="1" s="1"/>
  <c r="O301" i="1"/>
  <c r="P301" i="1" s="1"/>
  <c r="J301" i="1"/>
  <c r="G301" i="1"/>
  <c r="F301" i="1"/>
  <c r="F296" i="1" s="1"/>
  <c r="E301" i="1"/>
  <c r="P300" i="1"/>
  <c r="S300" i="1" s="1"/>
  <c r="W300" i="1" s="1"/>
  <c r="Z300" i="1" s="1"/>
  <c r="AD300" i="1" s="1"/>
  <c r="E300" i="1"/>
  <c r="H300" i="1" s="1"/>
  <c r="K300" i="1" s="1"/>
  <c r="M300" i="1" s="1"/>
  <c r="P299" i="1"/>
  <c r="S299" i="1" s="1"/>
  <c r="E299" i="1"/>
  <c r="H299" i="1" s="1"/>
  <c r="V298" i="1"/>
  <c r="P298" i="1"/>
  <c r="S298" i="1" s="1"/>
  <c r="J298" i="1"/>
  <c r="G298" i="1"/>
  <c r="E298" i="1"/>
  <c r="Y296" i="1"/>
  <c r="X296" i="1"/>
  <c r="U296" i="1"/>
  <c r="T296" i="1"/>
  <c r="Q296" i="1"/>
  <c r="L296" i="1"/>
  <c r="I296" i="1"/>
  <c r="D296" i="1"/>
  <c r="C296" i="1"/>
  <c r="Y295" i="1"/>
  <c r="Y291" i="1" s="1"/>
  <c r="X295" i="1"/>
  <c r="X291" i="1" s="1"/>
  <c r="V295" i="1"/>
  <c r="V291" i="1" s="1"/>
  <c r="R295" i="1"/>
  <c r="P295" i="1"/>
  <c r="J295" i="1"/>
  <c r="J291" i="1" s="1"/>
  <c r="G295" i="1"/>
  <c r="D295" i="1"/>
  <c r="D291" i="1" s="1"/>
  <c r="R294" i="1"/>
  <c r="P294" i="1"/>
  <c r="G294" i="1"/>
  <c r="E294" i="1"/>
  <c r="P293" i="1"/>
  <c r="S293" i="1" s="1"/>
  <c r="G293" i="1"/>
  <c r="E293" i="1"/>
  <c r="U291" i="1"/>
  <c r="T291" i="1"/>
  <c r="Q291" i="1"/>
  <c r="O291" i="1"/>
  <c r="L291" i="1"/>
  <c r="I291" i="1"/>
  <c r="F291" i="1"/>
  <c r="C291" i="1"/>
  <c r="R290" i="1"/>
  <c r="P290" i="1"/>
  <c r="E290" i="1"/>
  <c r="H290" i="1" s="1"/>
  <c r="K290" i="1" s="1"/>
  <c r="R289" i="1"/>
  <c r="P289" i="1"/>
  <c r="E289" i="1"/>
  <c r="H289" i="1" s="1"/>
  <c r="K289" i="1" s="1"/>
  <c r="P288" i="1"/>
  <c r="S288" i="1" s="1"/>
  <c r="E288" i="1"/>
  <c r="H288" i="1" s="1"/>
  <c r="K288" i="1" s="1"/>
  <c r="M288" i="1" s="1"/>
  <c r="Y286" i="1"/>
  <c r="X286" i="1"/>
  <c r="V286" i="1"/>
  <c r="U286" i="1"/>
  <c r="T286" i="1"/>
  <c r="Q286" i="1"/>
  <c r="O286" i="1"/>
  <c r="L286" i="1"/>
  <c r="J286" i="1"/>
  <c r="I286" i="1"/>
  <c r="G286" i="1"/>
  <c r="F286" i="1"/>
  <c r="D286" i="1"/>
  <c r="C286" i="1"/>
  <c r="O285" i="1"/>
  <c r="P285" i="1" s="1"/>
  <c r="S285" i="1" s="1"/>
  <c r="W285" i="1" s="1"/>
  <c r="Z285" i="1" s="1"/>
  <c r="AD285" i="1" s="1"/>
  <c r="J285" i="1"/>
  <c r="J263" i="1" s="1"/>
  <c r="G285" i="1"/>
  <c r="E285" i="1"/>
  <c r="W284" i="1"/>
  <c r="Z284" i="1" s="1"/>
  <c r="AD284" i="1" s="1"/>
  <c r="P283" i="1"/>
  <c r="S283" i="1" s="1"/>
  <c r="W283" i="1" s="1"/>
  <c r="Z283" i="1" s="1"/>
  <c r="AD283" i="1" s="1"/>
  <c r="E283" i="1"/>
  <c r="H283" i="1" s="1"/>
  <c r="K283" i="1" s="1"/>
  <c r="P282" i="1"/>
  <c r="S282" i="1" s="1"/>
  <c r="W282" i="1" s="1"/>
  <c r="Z282" i="1" s="1"/>
  <c r="AD282" i="1" s="1"/>
  <c r="E282" i="1"/>
  <c r="H282" i="1" s="1"/>
  <c r="K282" i="1" s="1"/>
  <c r="N282" i="1" s="1"/>
  <c r="P281" i="1"/>
  <c r="S281" i="1" s="1"/>
  <c r="W281" i="1" s="1"/>
  <c r="Z281" i="1" s="1"/>
  <c r="AD281" i="1" s="1"/>
  <c r="E281" i="1"/>
  <c r="H281" i="1" s="1"/>
  <c r="K281" i="1" s="1"/>
  <c r="P280" i="1"/>
  <c r="S280" i="1" s="1"/>
  <c r="W280" i="1" s="1"/>
  <c r="Z280" i="1" s="1"/>
  <c r="AD280" i="1" s="1"/>
  <c r="E280" i="1"/>
  <c r="H280" i="1" s="1"/>
  <c r="K280" i="1" s="1"/>
  <c r="M280" i="1" s="1"/>
  <c r="P279" i="1"/>
  <c r="S279" i="1" s="1"/>
  <c r="W279" i="1" s="1"/>
  <c r="Z279" i="1" s="1"/>
  <c r="AD279" i="1" s="1"/>
  <c r="E279" i="1"/>
  <c r="H279" i="1" s="1"/>
  <c r="K279" i="1" s="1"/>
  <c r="P278" i="1"/>
  <c r="S278" i="1" s="1"/>
  <c r="W278" i="1" s="1"/>
  <c r="Z278" i="1" s="1"/>
  <c r="AD278" i="1" s="1"/>
  <c r="E278" i="1"/>
  <c r="H278" i="1" s="1"/>
  <c r="K278" i="1" s="1"/>
  <c r="P277" i="1"/>
  <c r="S277" i="1" s="1"/>
  <c r="W277" i="1" s="1"/>
  <c r="Z277" i="1" s="1"/>
  <c r="AD277" i="1" s="1"/>
  <c r="E277" i="1"/>
  <c r="H277" i="1" s="1"/>
  <c r="K277" i="1" s="1"/>
  <c r="P276" i="1"/>
  <c r="S276" i="1" s="1"/>
  <c r="W276" i="1" s="1"/>
  <c r="Z276" i="1" s="1"/>
  <c r="AD276" i="1" s="1"/>
  <c r="E276" i="1"/>
  <c r="H276" i="1" s="1"/>
  <c r="K276" i="1" s="1"/>
  <c r="P275" i="1"/>
  <c r="S275" i="1" s="1"/>
  <c r="W275" i="1" s="1"/>
  <c r="Z275" i="1" s="1"/>
  <c r="AD275" i="1" s="1"/>
  <c r="E275" i="1"/>
  <c r="H275" i="1" s="1"/>
  <c r="K275" i="1" s="1"/>
  <c r="M275" i="1" s="1"/>
  <c r="W274" i="1"/>
  <c r="Z274" i="1" s="1"/>
  <c r="AD274" i="1" s="1"/>
  <c r="W273" i="1"/>
  <c r="Z273" i="1" s="1"/>
  <c r="AD273" i="1" s="1"/>
  <c r="V272" i="1"/>
  <c r="V271" i="1"/>
  <c r="P271" i="1"/>
  <c r="S271" i="1" s="1"/>
  <c r="E271" i="1"/>
  <c r="H271" i="1" s="1"/>
  <c r="K271" i="1" s="1"/>
  <c r="N271" i="1" s="1"/>
  <c r="P270" i="1"/>
  <c r="S270" i="1" s="1"/>
  <c r="W270" i="1" s="1"/>
  <c r="Z270" i="1" s="1"/>
  <c r="AD270" i="1" s="1"/>
  <c r="E270" i="1"/>
  <c r="H270" i="1" s="1"/>
  <c r="K270" i="1" s="1"/>
  <c r="P269" i="1"/>
  <c r="S269" i="1" s="1"/>
  <c r="W269" i="1" s="1"/>
  <c r="Z269" i="1" s="1"/>
  <c r="AD269" i="1" s="1"/>
  <c r="P268" i="1"/>
  <c r="S268" i="1" s="1"/>
  <c r="W268" i="1" s="1"/>
  <c r="Z268" i="1" s="1"/>
  <c r="AD268" i="1" s="1"/>
  <c r="E268" i="1"/>
  <c r="H268" i="1" s="1"/>
  <c r="K268" i="1" s="1"/>
  <c r="P267" i="1"/>
  <c r="S267" i="1" s="1"/>
  <c r="W267" i="1" s="1"/>
  <c r="Z267" i="1" s="1"/>
  <c r="AD267" i="1" s="1"/>
  <c r="E267" i="1"/>
  <c r="H267" i="1" s="1"/>
  <c r="K267" i="1" s="1"/>
  <c r="P266" i="1"/>
  <c r="E266" i="1"/>
  <c r="H266" i="1" s="1"/>
  <c r="K266" i="1" s="1"/>
  <c r="P265" i="1"/>
  <c r="S265" i="1" s="1"/>
  <c r="W265" i="1" s="1"/>
  <c r="Z265" i="1" s="1"/>
  <c r="AD265" i="1" s="1"/>
  <c r="E265" i="1"/>
  <c r="H265" i="1" s="1"/>
  <c r="K265" i="1" s="1"/>
  <c r="M265" i="1" s="1"/>
  <c r="Y263" i="1"/>
  <c r="X263" i="1"/>
  <c r="U263" i="1"/>
  <c r="T263" i="1"/>
  <c r="R263" i="1"/>
  <c r="Q263" i="1"/>
  <c r="L263" i="1"/>
  <c r="I263" i="1"/>
  <c r="F263" i="1"/>
  <c r="D263" i="1"/>
  <c r="C263" i="1"/>
  <c r="Y259" i="1"/>
  <c r="V262" i="1"/>
  <c r="V259" i="1" s="1"/>
  <c r="R262" i="1"/>
  <c r="R259" i="1" s="1"/>
  <c r="O262" i="1"/>
  <c r="P262" i="1" s="1"/>
  <c r="J262" i="1"/>
  <c r="J259" i="1" s="1"/>
  <c r="G262" i="1"/>
  <c r="G259" i="1" s="1"/>
  <c r="D262" i="1"/>
  <c r="P261" i="1"/>
  <c r="E261" i="1"/>
  <c r="H261" i="1" s="1"/>
  <c r="K261" i="1" s="1"/>
  <c r="M261" i="1" s="1"/>
  <c r="X259" i="1"/>
  <c r="U259" i="1"/>
  <c r="T259" i="1"/>
  <c r="Q259" i="1"/>
  <c r="L259" i="1"/>
  <c r="I259" i="1"/>
  <c r="F259" i="1"/>
  <c r="C259" i="1"/>
  <c r="Y258" i="1"/>
  <c r="X258" i="1"/>
  <c r="V258" i="1"/>
  <c r="R258" i="1"/>
  <c r="O258" i="1"/>
  <c r="P258" i="1" s="1"/>
  <c r="G258" i="1"/>
  <c r="D258" i="1"/>
  <c r="E258" i="1" s="1"/>
  <c r="S257" i="1"/>
  <c r="W257" i="1" s="1"/>
  <c r="Z257" i="1" s="1"/>
  <c r="AD257" i="1" s="1"/>
  <c r="V256" i="1"/>
  <c r="W256" i="1" s="1"/>
  <c r="Z256" i="1" s="1"/>
  <c r="AD256" i="1" s="1"/>
  <c r="V255" i="1"/>
  <c r="W255" i="1" s="1"/>
  <c r="Z255" i="1" s="1"/>
  <c r="AD255" i="1" s="1"/>
  <c r="V254" i="1"/>
  <c r="W254" i="1" s="1"/>
  <c r="Z254" i="1" s="1"/>
  <c r="AD254" i="1" s="1"/>
  <c r="W253" i="1"/>
  <c r="Z253" i="1" s="1"/>
  <c r="AD253" i="1" s="1"/>
  <c r="W252" i="1"/>
  <c r="Z252" i="1" s="1"/>
  <c r="AD252" i="1" s="1"/>
  <c r="S251" i="1"/>
  <c r="W251" i="1" s="1"/>
  <c r="Z251" i="1" s="1"/>
  <c r="AD251" i="1" s="1"/>
  <c r="P250" i="1"/>
  <c r="S250" i="1" s="1"/>
  <c r="W250" i="1" s="1"/>
  <c r="Z250" i="1" s="1"/>
  <c r="AD250" i="1" s="1"/>
  <c r="E250" i="1"/>
  <c r="H250" i="1" s="1"/>
  <c r="K250" i="1" s="1"/>
  <c r="M250" i="1" s="1"/>
  <c r="P249" i="1"/>
  <c r="S249" i="1" s="1"/>
  <c r="W249" i="1" s="1"/>
  <c r="Z249" i="1" s="1"/>
  <c r="AD249" i="1" s="1"/>
  <c r="E249" i="1"/>
  <c r="H249" i="1" s="1"/>
  <c r="K249" i="1" s="1"/>
  <c r="M249" i="1" s="1"/>
  <c r="P248" i="1"/>
  <c r="S248" i="1" s="1"/>
  <c r="W248" i="1" s="1"/>
  <c r="Z248" i="1" s="1"/>
  <c r="AD248" i="1" s="1"/>
  <c r="E248" i="1"/>
  <c r="H248" i="1" s="1"/>
  <c r="K248" i="1" s="1"/>
  <c r="P247" i="1"/>
  <c r="S247" i="1" s="1"/>
  <c r="W247" i="1" s="1"/>
  <c r="Z247" i="1" s="1"/>
  <c r="AD247" i="1" s="1"/>
  <c r="E247" i="1"/>
  <c r="H247" i="1" s="1"/>
  <c r="K247" i="1" s="1"/>
  <c r="X246" i="1"/>
  <c r="Z246" i="1" s="1"/>
  <c r="AD246" i="1" s="1"/>
  <c r="R245" i="1"/>
  <c r="S245" i="1" s="1"/>
  <c r="W245" i="1" s="1"/>
  <c r="Z245" i="1" s="1"/>
  <c r="AD245" i="1" s="1"/>
  <c r="R244" i="1"/>
  <c r="S244" i="1" s="1"/>
  <c r="W244" i="1" s="1"/>
  <c r="Z244" i="1" s="1"/>
  <c r="AD244" i="1" s="1"/>
  <c r="O243" i="1"/>
  <c r="P242" i="1"/>
  <c r="S242" i="1" s="1"/>
  <c r="W242" i="1" s="1"/>
  <c r="Z242" i="1" s="1"/>
  <c r="AD242" i="1" s="1"/>
  <c r="H242" i="1"/>
  <c r="K242" i="1" s="1"/>
  <c r="P241" i="1"/>
  <c r="S241" i="1" s="1"/>
  <c r="W241" i="1" s="1"/>
  <c r="Z241" i="1" s="1"/>
  <c r="AD241" i="1" s="1"/>
  <c r="E241" i="1"/>
  <c r="H241" i="1" s="1"/>
  <c r="K241" i="1" s="1"/>
  <c r="P240" i="1"/>
  <c r="S240" i="1" s="1"/>
  <c r="W240" i="1" s="1"/>
  <c r="Z240" i="1" s="1"/>
  <c r="AD240" i="1" s="1"/>
  <c r="E240" i="1"/>
  <c r="H240" i="1" s="1"/>
  <c r="K240" i="1" s="1"/>
  <c r="N240" i="1" s="1"/>
  <c r="P239" i="1"/>
  <c r="S239" i="1" s="1"/>
  <c r="W239" i="1" s="1"/>
  <c r="Z239" i="1" s="1"/>
  <c r="AD239" i="1" s="1"/>
  <c r="G239" i="1"/>
  <c r="E239" i="1"/>
  <c r="R238" i="1"/>
  <c r="S238" i="1" s="1"/>
  <c r="W238" i="1" s="1"/>
  <c r="Z238" i="1" s="1"/>
  <c r="AD238" i="1" s="1"/>
  <c r="P237" i="1"/>
  <c r="S237" i="1" s="1"/>
  <c r="W237" i="1" s="1"/>
  <c r="Z237" i="1" s="1"/>
  <c r="AD237" i="1" s="1"/>
  <c r="E237" i="1"/>
  <c r="H237" i="1" s="1"/>
  <c r="K237" i="1" s="1"/>
  <c r="P236" i="1"/>
  <c r="S236" i="1" s="1"/>
  <c r="W236" i="1" s="1"/>
  <c r="Z236" i="1" s="1"/>
  <c r="AD236" i="1" s="1"/>
  <c r="E236" i="1"/>
  <c r="H236" i="1" s="1"/>
  <c r="K236" i="1" s="1"/>
  <c r="P235" i="1"/>
  <c r="S235" i="1" s="1"/>
  <c r="W235" i="1" s="1"/>
  <c r="Z235" i="1" s="1"/>
  <c r="AD235" i="1" s="1"/>
  <c r="E235" i="1"/>
  <c r="H235" i="1" s="1"/>
  <c r="K235" i="1" s="1"/>
  <c r="P234" i="1"/>
  <c r="S234" i="1" s="1"/>
  <c r="W234" i="1" s="1"/>
  <c r="Z234" i="1" s="1"/>
  <c r="AD234" i="1" s="1"/>
  <c r="E234" i="1"/>
  <c r="H234" i="1" s="1"/>
  <c r="K234" i="1" s="1"/>
  <c r="P233" i="1"/>
  <c r="S233" i="1" s="1"/>
  <c r="W233" i="1" s="1"/>
  <c r="Z233" i="1" s="1"/>
  <c r="AD233" i="1" s="1"/>
  <c r="E233" i="1"/>
  <c r="H233" i="1" s="1"/>
  <c r="K233" i="1" s="1"/>
  <c r="M233" i="1" s="1"/>
  <c r="P232" i="1"/>
  <c r="S232" i="1" s="1"/>
  <c r="W232" i="1" s="1"/>
  <c r="Z232" i="1" s="1"/>
  <c r="AD232" i="1" s="1"/>
  <c r="M232" i="1"/>
  <c r="P231" i="1"/>
  <c r="S231" i="1" s="1"/>
  <c r="W231" i="1" s="1"/>
  <c r="Z231" i="1" s="1"/>
  <c r="AD231" i="1" s="1"/>
  <c r="E231" i="1"/>
  <c r="H231" i="1" s="1"/>
  <c r="K231" i="1" s="1"/>
  <c r="N231" i="1" s="1"/>
  <c r="P230" i="1"/>
  <c r="S230" i="1" s="1"/>
  <c r="W230" i="1" s="1"/>
  <c r="Z230" i="1" s="1"/>
  <c r="AD230" i="1" s="1"/>
  <c r="E230" i="1"/>
  <c r="H230" i="1" s="1"/>
  <c r="K230" i="1" s="1"/>
  <c r="M230" i="1" s="1"/>
  <c r="P229" i="1"/>
  <c r="S229" i="1" s="1"/>
  <c r="W229" i="1" s="1"/>
  <c r="Z229" i="1" s="1"/>
  <c r="AD229" i="1" s="1"/>
  <c r="E229" i="1"/>
  <c r="H229" i="1" s="1"/>
  <c r="K229" i="1" s="1"/>
  <c r="P228" i="1"/>
  <c r="S228" i="1" s="1"/>
  <c r="W228" i="1" s="1"/>
  <c r="Z228" i="1" s="1"/>
  <c r="AD228" i="1" s="1"/>
  <c r="E228" i="1"/>
  <c r="H228" i="1" s="1"/>
  <c r="K228" i="1" s="1"/>
  <c r="N228" i="1" s="1"/>
  <c r="Y227" i="1"/>
  <c r="Z227" i="1" s="1"/>
  <c r="AD227" i="1" s="1"/>
  <c r="Y226" i="1"/>
  <c r="R226" i="1"/>
  <c r="S226" i="1" s="1"/>
  <c r="W226" i="1" s="1"/>
  <c r="P225" i="1"/>
  <c r="S225" i="1" s="1"/>
  <c r="W225" i="1" s="1"/>
  <c r="Z225" i="1" s="1"/>
  <c r="AD225" i="1" s="1"/>
  <c r="E225" i="1"/>
  <c r="H225" i="1" s="1"/>
  <c r="K225" i="1" s="1"/>
  <c r="Y224" i="1"/>
  <c r="R224" i="1"/>
  <c r="S224" i="1" s="1"/>
  <c r="W224" i="1" s="1"/>
  <c r="P223" i="1"/>
  <c r="S223" i="1" s="1"/>
  <c r="W223" i="1" s="1"/>
  <c r="Z223" i="1" s="1"/>
  <c r="AD223" i="1" s="1"/>
  <c r="E223" i="1"/>
  <c r="H223" i="1" s="1"/>
  <c r="K223" i="1" s="1"/>
  <c r="X221" i="1"/>
  <c r="P221" i="1"/>
  <c r="S221" i="1" s="1"/>
  <c r="W221" i="1" s="1"/>
  <c r="E221" i="1"/>
  <c r="H221" i="1" s="1"/>
  <c r="K221" i="1" s="1"/>
  <c r="R220" i="1"/>
  <c r="S220" i="1" s="1"/>
  <c r="W220" i="1" s="1"/>
  <c r="Z220" i="1" s="1"/>
  <c r="AD220" i="1" s="1"/>
  <c r="P219" i="1"/>
  <c r="S219" i="1" s="1"/>
  <c r="W219" i="1" s="1"/>
  <c r="Z219" i="1" s="1"/>
  <c r="AD219" i="1" s="1"/>
  <c r="E219" i="1"/>
  <c r="H219" i="1" s="1"/>
  <c r="K219" i="1" s="1"/>
  <c r="M219" i="1" s="1"/>
  <c r="X218" i="1"/>
  <c r="P218" i="1"/>
  <c r="S218" i="1" s="1"/>
  <c r="W218" i="1" s="1"/>
  <c r="E218" i="1"/>
  <c r="H218" i="1" s="1"/>
  <c r="K218" i="1" s="1"/>
  <c r="R217" i="1"/>
  <c r="S217" i="1" s="1"/>
  <c r="W217" i="1" s="1"/>
  <c r="Z217" i="1" s="1"/>
  <c r="AD217" i="1" s="1"/>
  <c r="R216" i="1"/>
  <c r="S216" i="1" s="1"/>
  <c r="W216" i="1" s="1"/>
  <c r="Z216" i="1" s="1"/>
  <c r="AD216" i="1" s="1"/>
  <c r="P215" i="1"/>
  <c r="S215" i="1" s="1"/>
  <c r="W215" i="1" s="1"/>
  <c r="Z215" i="1" s="1"/>
  <c r="AD215" i="1" s="1"/>
  <c r="E215" i="1"/>
  <c r="H215" i="1" s="1"/>
  <c r="K215" i="1" s="1"/>
  <c r="N215" i="1" s="1"/>
  <c r="P214" i="1"/>
  <c r="S214" i="1" s="1"/>
  <c r="W214" i="1" s="1"/>
  <c r="Z214" i="1" s="1"/>
  <c r="AD214" i="1" s="1"/>
  <c r="E214" i="1"/>
  <c r="H214" i="1" s="1"/>
  <c r="K214" i="1" s="1"/>
  <c r="N214" i="1" s="1"/>
  <c r="P213" i="1"/>
  <c r="S213" i="1" s="1"/>
  <c r="W213" i="1" s="1"/>
  <c r="Z213" i="1" s="1"/>
  <c r="AD213" i="1" s="1"/>
  <c r="E213" i="1"/>
  <c r="H213" i="1" s="1"/>
  <c r="K213" i="1" s="1"/>
  <c r="M213" i="1" s="1"/>
  <c r="P212" i="1"/>
  <c r="S212" i="1" s="1"/>
  <c r="E212" i="1"/>
  <c r="H212" i="1" s="1"/>
  <c r="K212" i="1" s="1"/>
  <c r="V211" i="1"/>
  <c r="P211" i="1"/>
  <c r="S211" i="1" s="1"/>
  <c r="J211" i="1"/>
  <c r="J209" i="1" s="1"/>
  <c r="G211" i="1"/>
  <c r="E211" i="1"/>
  <c r="U209" i="1"/>
  <c r="T209" i="1"/>
  <c r="Q209" i="1"/>
  <c r="L209" i="1"/>
  <c r="I209" i="1"/>
  <c r="F209" i="1"/>
  <c r="C209" i="1"/>
  <c r="X208" i="1"/>
  <c r="P208" i="1"/>
  <c r="S208" i="1" s="1"/>
  <c r="W208" i="1" s="1"/>
  <c r="G208" i="1"/>
  <c r="G199" i="1" s="1"/>
  <c r="E208" i="1"/>
  <c r="P207" i="1"/>
  <c r="S207" i="1" s="1"/>
  <c r="W207" i="1" s="1"/>
  <c r="Z207" i="1" s="1"/>
  <c r="AD207" i="1" s="1"/>
  <c r="E207" i="1"/>
  <c r="H207" i="1" s="1"/>
  <c r="K207" i="1" s="1"/>
  <c r="M207" i="1" s="1"/>
  <c r="P206" i="1"/>
  <c r="S206" i="1" s="1"/>
  <c r="W206" i="1" s="1"/>
  <c r="Z206" i="1" s="1"/>
  <c r="AD206" i="1" s="1"/>
  <c r="E206" i="1"/>
  <c r="H206" i="1" s="1"/>
  <c r="K206" i="1" s="1"/>
  <c r="P205" i="1"/>
  <c r="S205" i="1" s="1"/>
  <c r="W205" i="1" s="1"/>
  <c r="Z205" i="1" s="1"/>
  <c r="AD205" i="1" s="1"/>
  <c r="E205" i="1"/>
  <c r="H205" i="1" s="1"/>
  <c r="K205" i="1" s="1"/>
  <c r="P204" i="1"/>
  <c r="S204" i="1" s="1"/>
  <c r="W204" i="1" s="1"/>
  <c r="Z204" i="1" s="1"/>
  <c r="AD204" i="1" s="1"/>
  <c r="E204" i="1"/>
  <c r="H204" i="1" s="1"/>
  <c r="K204" i="1" s="1"/>
  <c r="X203" i="1"/>
  <c r="P203" i="1"/>
  <c r="S203" i="1" s="1"/>
  <c r="W203" i="1" s="1"/>
  <c r="E203" i="1"/>
  <c r="H203" i="1" s="1"/>
  <c r="K203" i="1" s="1"/>
  <c r="Y202" i="1"/>
  <c r="Y199" i="1" s="1"/>
  <c r="V202" i="1"/>
  <c r="V199" i="1" s="1"/>
  <c r="R202" i="1"/>
  <c r="R199" i="1" s="1"/>
  <c r="O202" i="1"/>
  <c r="O199" i="1" s="1"/>
  <c r="E202" i="1"/>
  <c r="H202" i="1" s="1"/>
  <c r="K202" i="1" s="1"/>
  <c r="N202" i="1" s="1"/>
  <c r="P201" i="1"/>
  <c r="S201" i="1" s="1"/>
  <c r="W201" i="1" s="1"/>
  <c r="Z201" i="1" s="1"/>
  <c r="AD201" i="1" s="1"/>
  <c r="E201" i="1"/>
  <c r="H201" i="1" s="1"/>
  <c r="U199" i="1"/>
  <c r="T199" i="1"/>
  <c r="Q199" i="1"/>
  <c r="L199" i="1"/>
  <c r="J199" i="1"/>
  <c r="I199" i="1"/>
  <c r="F199" i="1"/>
  <c r="D199" i="1"/>
  <c r="C199" i="1"/>
  <c r="Y198" i="1"/>
  <c r="Y186" i="1" s="1"/>
  <c r="R198" i="1"/>
  <c r="P198" i="1"/>
  <c r="E198" i="1"/>
  <c r="H198" i="1" s="1"/>
  <c r="K198" i="1" s="1"/>
  <c r="S197" i="1"/>
  <c r="W197" i="1" s="1"/>
  <c r="Z197" i="1" s="1"/>
  <c r="AD197" i="1" s="1"/>
  <c r="S196" i="1"/>
  <c r="W196" i="1" s="1"/>
  <c r="Z196" i="1" s="1"/>
  <c r="AD196" i="1" s="1"/>
  <c r="P195" i="1"/>
  <c r="S195" i="1" s="1"/>
  <c r="W195" i="1" s="1"/>
  <c r="Z195" i="1" s="1"/>
  <c r="AD195" i="1" s="1"/>
  <c r="E195" i="1"/>
  <c r="H195" i="1" s="1"/>
  <c r="K195" i="1" s="1"/>
  <c r="P194" i="1"/>
  <c r="S194" i="1" s="1"/>
  <c r="W194" i="1" s="1"/>
  <c r="Z194" i="1" s="1"/>
  <c r="AD194" i="1" s="1"/>
  <c r="E194" i="1"/>
  <c r="H194" i="1" s="1"/>
  <c r="K194" i="1" s="1"/>
  <c r="P193" i="1"/>
  <c r="S193" i="1" s="1"/>
  <c r="W193" i="1" s="1"/>
  <c r="Z193" i="1" s="1"/>
  <c r="AD193" i="1" s="1"/>
  <c r="E193" i="1"/>
  <c r="H193" i="1" s="1"/>
  <c r="K193" i="1" s="1"/>
  <c r="P192" i="1"/>
  <c r="S192" i="1" s="1"/>
  <c r="W192" i="1" s="1"/>
  <c r="Z192" i="1" s="1"/>
  <c r="AD192" i="1" s="1"/>
  <c r="E192" i="1"/>
  <c r="H192" i="1" s="1"/>
  <c r="K192" i="1" s="1"/>
  <c r="M192" i="1" s="1"/>
  <c r="P191" i="1"/>
  <c r="S191" i="1" s="1"/>
  <c r="W191" i="1" s="1"/>
  <c r="Z191" i="1" s="1"/>
  <c r="AD191" i="1" s="1"/>
  <c r="E191" i="1"/>
  <c r="H191" i="1" s="1"/>
  <c r="K191" i="1" s="1"/>
  <c r="O190" i="1"/>
  <c r="P190" i="1" s="1"/>
  <c r="S190" i="1" s="1"/>
  <c r="W190" i="1" s="1"/>
  <c r="Z190" i="1" s="1"/>
  <c r="AD190" i="1" s="1"/>
  <c r="G190" i="1"/>
  <c r="E190" i="1"/>
  <c r="P189" i="1"/>
  <c r="S189" i="1" s="1"/>
  <c r="W189" i="1" s="1"/>
  <c r="Z189" i="1" s="1"/>
  <c r="AD189" i="1" s="1"/>
  <c r="E189" i="1"/>
  <c r="H189" i="1" s="1"/>
  <c r="K189" i="1" s="1"/>
  <c r="X188" i="1"/>
  <c r="X186" i="1" s="1"/>
  <c r="V188" i="1"/>
  <c r="V186" i="1" s="1"/>
  <c r="R188" i="1"/>
  <c r="O188" i="1"/>
  <c r="J188" i="1"/>
  <c r="J186" i="1" s="1"/>
  <c r="G188" i="1"/>
  <c r="E188" i="1"/>
  <c r="U186" i="1"/>
  <c r="T186" i="1"/>
  <c r="Q186" i="1"/>
  <c r="L186" i="1"/>
  <c r="I186" i="1"/>
  <c r="F186" i="1"/>
  <c r="D186" i="1"/>
  <c r="C186" i="1"/>
  <c r="X185" i="1"/>
  <c r="V185" i="1"/>
  <c r="R185" i="1"/>
  <c r="O185" i="1"/>
  <c r="P185" i="1" s="1"/>
  <c r="J185" i="1"/>
  <c r="G185" i="1"/>
  <c r="D185" i="1"/>
  <c r="E185" i="1" s="1"/>
  <c r="Y184" i="1"/>
  <c r="Z184" i="1" s="1"/>
  <c r="AD184" i="1" s="1"/>
  <c r="V182" i="1"/>
  <c r="W182" i="1" s="1"/>
  <c r="Z182" i="1" s="1"/>
  <c r="AD182" i="1" s="1"/>
  <c r="S181" i="1"/>
  <c r="W181" i="1" s="1"/>
  <c r="Z181" i="1" s="1"/>
  <c r="AD181" i="1" s="1"/>
  <c r="P180" i="1"/>
  <c r="S180" i="1" s="1"/>
  <c r="W180" i="1" s="1"/>
  <c r="Z180" i="1" s="1"/>
  <c r="AD180" i="1" s="1"/>
  <c r="E180" i="1"/>
  <c r="H180" i="1" s="1"/>
  <c r="K180" i="1" s="1"/>
  <c r="P179" i="1"/>
  <c r="S179" i="1" s="1"/>
  <c r="W179" i="1" s="1"/>
  <c r="Z179" i="1" s="1"/>
  <c r="AD179" i="1" s="1"/>
  <c r="E179" i="1"/>
  <c r="H179" i="1" s="1"/>
  <c r="K179" i="1" s="1"/>
  <c r="N179" i="1" s="1"/>
  <c r="P178" i="1"/>
  <c r="S178" i="1" s="1"/>
  <c r="W178" i="1" s="1"/>
  <c r="Z178" i="1" s="1"/>
  <c r="AD178" i="1" s="1"/>
  <c r="E178" i="1"/>
  <c r="H178" i="1" s="1"/>
  <c r="K178" i="1" s="1"/>
  <c r="M178" i="1" s="1"/>
  <c r="P177" i="1"/>
  <c r="S177" i="1" s="1"/>
  <c r="W177" i="1" s="1"/>
  <c r="Z177" i="1" s="1"/>
  <c r="AD177" i="1" s="1"/>
  <c r="E177" i="1"/>
  <c r="H177" i="1" s="1"/>
  <c r="K177" i="1" s="1"/>
  <c r="P176" i="1"/>
  <c r="S176" i="1" s="1"/>
  <c r="W176" i="1" s="1"/>
  <c r="Z176" i="1" s="1"/>
  <c r="AD176" i="1" s="1"/>
  <c r="E176" i="1"/>
  <c r="H176" i="1" s="1"/>
  <c r="K176" i="1" s="1"/>
  <c r="W175" i="1"/>
  <c r="Z175" i="1" s="1"/>
  <c r="AD175" i="1" s="1"/>
  <c r="P174" i="1"/>
  <c r="S174" i="1" s="1"/>
  <c r="W174" i="1" s="1"/>
  <c r="Z174" i="1" s="1"/>
  <c r="AD174" i="1" s="1"/>
  <c r="E174" i="1"/>
  <c r="H174" i="1" s="1"/>
  <c r="K174" i="1" s="1"/>
  <c r="P173" i="1"/>
  <c r="S173" i="1" s="1"/>
  <c r="W173" i="1" s="1"/>
  <c r="Z173" i="1" s="1"/>
  <c r="AD173" i="1" s="1"/>
  <c r="E173" i="1"/>
  <c r="H173" i="1" s="1"/>
  <c r="K173" i="1" s="1"/>
  <c r="X172" i="1"/>
  <c r="Z172" i="1" s="1"/>
  <c r="AD172" i="1" s="1"/>
  <c r="P171" i="1"/>
  <c r="S171" i="1" s="1"/>
  <c r="W171" i="1" s="1"/>
  <c r="Z171" i="1" s="1"/>
  <c r="AD171" i="1" s="1"/>
  <c r="E171" i="1"/>
  <c r="H171" i="1" s="1"/>
  <c r="K171" i="1" s="1"/>
  <c r="P170" i="1"/>
  <c r="S170" i="1" s="1"/>
  <c r="W170" i="1" s="1"/>
  <c r="Z170" i="1" s="1"/>
  <c r="AD170" i="1" s="1"/>
  <c r="E170" i="1"/>
  <c r="H170" i="1" s="1"/>
  <c r="K170" i="1" s="1"/>
  <c r="P169" i="1"/>
  <c r="S169" i="1" s="1"/>
  <c r="W169" i="1" s="1"/>
  <c r="Z169" i="1" s="1"/>
  <c r="AD169" i="1" s="1"/>
  <c r="M169" i="1"/>
  <c r="P168" i="1"/>
  <c r="S168" i="1" s="1"/>
  <c r="W168" i="1" s="1"/>
  <c r="Z168" i="1" s="1"/>
  <c r="AD168" i="1" s="1"/>
  <c r="E168" i="1"/>
  <c r="H168" i="1" s="1"/>
  <c r="K168" i="1" s="1"/>
  <c r="M168" i="1" s="1"/>
  <c r="P167" i="1"/>
  <c r="S167" i="1" s="1"/>
  <c r="W167" i="1" s="1"/>
  <c r="Z167" i="1" s="1"/>
  <c r="AD167" i="1" s="1"/>
  <c r="E167" i="1"/>
  <c r="H167" i="1" s="1"/>
  <c r="K167" i="1" s="1"/>
  <c r="R166" i="1"/>
  <c r="S166" i="1" s="1"/>
  <c r="W166" i="1" s="1"/>
  <c r="Z166" i="1" s="1"/>
  <c r="AD166" i="1" s="1"/>
  <c r="S165" i="1"/>
  <c r="W165" i="1" s="1"/>
  <c r="Z165" i="1" s="1"/>
  <c r="AD165" i="1" s="1"/>
  <c r="W164" i="1"/>
  <c r="Z164" i="1" s="1"/>
  <c r="AD164" i="1" s="1"/>
  <c r="P163" i="1"/>
  <c r="S163" i="1" s="1"/>
  <c r="W163" i="1" s="1"/>
  <c r="Z163" i="1" s="1"/>
  <c r="AD163" i="1" s="1"/>
  <c r="E163" i="1"/>
  <c r="H163" i="1" s="1"/>
  <c r="K163" i="1" s="1"/>
  <c r="N163" i="1" s="1"/>
  <c r="W162" i="1"/>
  <c r="Z162" i="1" s="1"/>
  <c r="AD162" i="1" s="1"/>
  <c r="R161" i="1"/>
  <c r="S161" i="1" s="1"/>
  <c r="W161" i="1" s="1"/>
  <c r="Z161" i="1" s="1"/>
  <c r="AD161" i="1" s="1"/>
  <c r="P160" i="1"/>
  <c r="S160" i="1" s="1"/>
  <c r="W160" i="1" s="1"/>
  <c r="Z160" i="1" s="1"/>
  <c r="AD160" i="1" s="1"/>
  <c r="E160" i="1"/>
  <c r="H160" i="1" s="1"/>
  <c r="K160" i="1" s="1"/>
  <c r="W159" i="1"/>
  <c r="Z159" i="1" s="1"/>
  <c r="AD159" i="1" s="1"/>
  <c r="X158" i="1"/>
  <c r="P158" i="1"/>
  <c r="S158" i="1" s="1"/>
  <c r="W158" i="1" s="1"/>
  <c r="M158" i="1"/>
  <c r="P157" i="1"/>
  <c r="S157" i="1" s="1"/>
  <c r="W157" i="1" s="1"/>
  <c r="Z157" i="1" s="1"/>
  <c r="AD157" i="1" s="1"/>
  <c r="M157" i="1"/>
  <c r="P156" i="1"/>
  <c r="S156" i="1" s="1"/>
  <c r="W156" i="1" s="1"/>
  <c r="Z156" i="1" s="1"/>
  <c r="AD156" i="1" s="1"/>
  <c r="M156" i="1"/>
  <c r="P155" i="1"/>
  <c r="S155" i="1" s="1"/>
  <c r="W155" i="1" s="1"/>
  <c r="Z155" i="1" s="1"/>
  <c r="AD155" i="1" s="1"/>
  <c r="E155" i="1"/>
  <c r="H155" i="1" s="1"/>
  <c r="K155" i="1" s="1"/>
  <c r="R154" i="1"/>
  <c r="S154" i="1" s="1"/>
  <c r="W154" i="1" s="1"/>
  <c r="Z154" i="1" s="1"/>
  <c r="AD154" i="1" s="1"/>
  <c r="P153" i="1"/>
  <c r="S153" i="1" s="1"/>
  <c r="W153" i="1" s="1"/>
  <c r="Z153" i="1" s="1"/>
  <c r="AD153" i="1" s="1"/>
  <c r="E153" i="1"/>
  <c r="H153" i="1" s="1"/>
  <c r="K153" i="1" s="1"/>
  <c r="Y152" i="1"/>
  <c r="Z152" i="1" s="1"/>
  <c r="AD152" i="1" s="1"/>
  <c r="Y151" i="1"/>
  <c r="Z151" i="1" s="1"/>
  <c r="AD151" i="1" s="1"/>
  <c r="Y150" i="1"/>
  <c r="Z150" i="1" s="1"/>
  <c r="AD150" i="1" s="1"/>
  <c r="Y149" i="1"/>
  <c r="Z149" i="1" s="1"/>
  <c r="AD149" i="1" s="1"/>
  <c r="Y148" i="1"/>
  <c r="Z148" i="1" s="1"/>
  <c r="AD148" i="1" s="1"/>
  <c r="Y147" i="1"/>
  <c r="Z147" i="1" s="1"/>
  <c r="AD147" i="1" s="1"/>
  <c r="Y146" i="1"/>
  <c r="Z146" i="1" s="1"/>
  <c r="AD146" i="1" s="1"/>
  <c r="Y145" i="1"/>
  <c r="Z145" i="1" s="1"/>
  <c r="AD145" i="1" s="1"/>
  <c r="Y144" i="1"/>
  <c r="Z144" i="1" s="1"/>
  <c r="AD144" i="1" s="1"/>
  <c r="Y143" i="1"/>
  <c r="Z143" i="1" s="1"/>
  <c r="AD143" i="1" s="1"/>
  <c r="Y142" i="1"/>
  <c r="Z142" i="1" s="1"/>
  <c r="AD142" i="1" s="1"/>
  <c r="Y141" i="1"/>
  <c r="Z141" i="1" s="1"/>
  <c r="AD141" i="1" s="1"/>
  <c r="D141" i="1"/>
  <c r="Y140" i="1"/>
  <c r="X140" i="1"/>
  <c r="P139" i="1"/>
  <c r="S139" i="1" s="1"/>
  <c r="W139" i="1" s="1"/>
  <c r="Z139" i="1" s="1"/>
  <c r="AD139" i="1" s="1"/>
  <c r="E139" i="1"/>
  <c r="H139" i="1" s="1"/>
  <c r="K139" i="1" s="1"/>
  <c r="R138" i="1"/>
  <c r="S138" i="1" s="1"/>
  <c r="W138" i="1" s="1"/>
  <c r="Z138" i="1" s="1"/>
  <c r="AD138" i="1" s="1"/>
  <c r="P137" i="1"/>
  <c r="S137" i="1" s="1"/>
  <c r="W137" i="1" s="1"/>
  <c r="Z137" i="1" s="1"/>
  <c r="AD137" i="1" s="1"/>
  <c r="E137" i="1"/>
  <c r="H137" i="1" s="1"/>
  <c r="K137" i="1" s="1"/>
  <c r="N137" i="1" s="1"/>
  <c r="R136" i="1"/>
  <c r="S136" i="1" s="1"/>
  <c r="W136" i="1" s="1"/>
  <c r="Z136" i="1" s="1"/>
  <c r="AD136" i="1" s="1"/>
  <c r="P135" i="1"/>
  <c r="S135" i="1" s="1"/>
  <c r="W135" i="1" s="1"/>
  <c r="Z135" i="1" s="1"/>
  <c r="AD135" i="1" s="1"/>
  <c r="E135" i="1"/>
  <c r="H135" i="1" s="1"/>
  <c r="K135" i="1" s="1"/>
  <c r="S134" i="1"/>
  <c r="W134" i="1" s="1"/>
  <c r="Z134" i="1" s="1"/>
  <c r="AD134" i="1" s="1"/>
  <c r="S133" i="1"/>
  <c r="W133" i="1" s="1"/>
  <c r="Z133" i="1" s="1"/>
  <c r="AD133" i="1" s="1"/>
  <c r="P132" i="1"/>
  <c r="S132" i="1" s="1"/>
  <c r="W132" i="1" s="1"/>
  <c r="Z132" i="1" s="1"/>
  <c r="AD132" i="1" s="1"/>
  <c r="E132" i="1"/>
  <c r="H132" i="1" s="1"/>
  <c r="K132" i="1" s="1"/>
  <c r="N132" i="1" s="1"/>
  <c r="W131" i="1"/>
  <c r="Z131" i="1" s="1"/>
  <c r="AD131" i="1" s="1"/>
  <c r="X130" i="1"/>
  <c r="P130" i="1"/>
  <c r="S130" i="1" s="1"/>
  <c r="W130" i="1" s="1"/>
  <c r="E130" i="1"/>
  <c r="H130" i="1" s="1"/>
  <c r="K130" i="1" s="1"/>
  <c r="W129" i="1"/>
  <c r="Z129" i="1" s="1"/>
  <c r="AD129" i="1" s="1"/>
  <c r="V128" i="1"/>
  <c r="W128" i="1" s="1"/>
  <c r="Z128" i="1" s="1"/>
  <c r="AD128" i="1" s="1"/>
  <c r="X127" i="1"/>
  <c r="P127" i="1"/>
  <c r="S127" i="1" s="1"/>
  <c r="W127" i="1" s="1"/>
  <c r="E127" i="1"/>
  <c r="H127" i="1" s="1"/>
  <c r="K127" i="1" s="1"/>
  <c r="N127" i="1" s="1"/>
  <c r="X126" i="1"/>
  <c r="P126" i="1"/>
  <c r="S126" i="1" s="1"/>
  <c r="W126" i="1" s="1"/>
  <c r="E126" i="1"/>
  <c r="H126" i="1" s="1"/>
  <c r="K126" i="1" s="1"/>
  <c r="W123" i="1"/>
  <c r="Z123" i="1" s="1"/>
  <c r="AD123" i="1" s="1"/>
  <c r="X122" i="1"/>
  <c r="P122" i="1"/>
  <c r="S122" i="1" s="1"/>
  <c r="W122" i="1" s="1"/>
  <c r="E122" i="1"/>
  <c r="H122" i="1" s="1"/>
  <c r="K122" i="1" s="1"/>
  <c r="M122" i="1" s="1"/>
  <c r="X121" i="1"/>
  <c r="P121" i="1"/>
  <c r="S121" i="1" s="1"/>
  <c r="W121" i="1" s="1"/>
  <c r="E121" i="1"/>
  <c r="H121" i="1" s="1"/>
  <c r="K121" i="1" s="1"/>
  <c r="V120" i="1"/>
  <c r="W120" i="1" s="1"/>
  <c r="Z120" i="1" s="1"/>
  <c r="AD120" i="1" s="1"/>
  <c r="X119" i="1"/>
  <c r="P119" i="1"/>
  <c r="S119" i="1" s="1"/>
  <c r="W119" i="1" s="1"/>
  <c r="E119" i="1"/>
  <c r="H119" i="1" s="1"/>
  <c r="K119" i="1" s="1"/>
  <c r="N119" i="1" s="1"/>
  <c r="O118" i="1"/>
  <c r="P118" i="1" s="1"/>
  <c r="S118" i="1" s="1"/>
  <c r="W118" i="1" s="1"/>
  <c r="Z118" i="1" s="1"/>
  <c r="AD118" i="1" s="1"/>
  <c r="X117" i="1"/>
  <c r="P117" i="1"/>
  <c r="S117" i="1" s="1"/>
  <c r="W117" i="1" s="1"/>
  <c r="E117" i="1"/>
  <c r="H117" i="1" s="1"/>
  <c r="K117" i="1" s="1"/>
  <c r="M117" i="1" s="1"/>
  <c r="X115" i="1"/>
  <c r="P115" i="1"/>
  <c r="S115" i="1" s="1"/>
  <c r="W115" i="1" s="1"/>
  <c r="E115" i="1"/>
  <c r="H115" i="1" s="1"/>
  <c r="K115" i="1" s="1"/>
  <c r="X114" i="1"/>
  <c r="P114" i="1"/>
  <c r="S114" i="1" s="1"/>
  <c r="W114" i="1" s="1"/>
  <c r="E114" i="1"/>
  <c r="H114" i="1" s="1"/>
  <c r="K114" i="1" s="1"/>
  <c r="N114" i="1" s="1"/>
  <c r="V113" i="1"/>
  <c r="W113" i="1" s="1"/>
  <c r="Z113" i="1" s="1"/>
  <c r="AD113" i="1" s="1"/>
  <c r="X112" i="1"/>
  <c r="P112" i="1"/>
  <c r="S112" i="1" s="1"/>
  <c r="W112" i="1" s="1"/>
  <c r="E112" i="1"/>
  <c r="H112" i="1" s="1"/>
  <c r="K112" i="1" s="1"/>
  <c r="Z110" i="1"/>
  <c r="AD110" i="1" s="1"/>
  <c r="X109" i="1"/>
  <c r="P109" i="1"/>
  <c r="S109" i="1" s="1"/>
  <c r="W109" i="1" s="1"/>
  <c r="E109" i="1"/>
  <c r="H109" i="1" s="1"/>
  <c r="K109" i="1" s="1"/>
  <c r="N109" i="1" s="1"/>
  <c r="R108" i="1"/>
  <c r="S108" i="1" s="1"/>
  <c r="W108" i="1" s="1"/>
  <c r="Z108" i="1" s="1"/>
  <c r="AD108" i="1" s="1"/>
  <c r="X107" i="1"/>
  <c r="P107" i="1"/>
  <c r="S107" i="1" s="1"/>
  <c r="W107" i="1" s="1"/>
  <c r="E107" i="1"/>
  <c r="H107" i="1" s="1"/>
  <c r="K107" i="1" s="1"/>
  <c r="O106" i="1"/>
  <c r="P106" i="1" s="1"/>
  <c r="S106" i="1" s="1"/>
  <c r="W106" i="1" s="1"/>
  <c r="Z106" i="1" s="1"/>
  <c r="AD106" i="1" s="1"/>
  <c r="X105" i="1"/>
  <c r="P105" i="1"/>
  <c r="S105" i="1" s="1"/>
  <c r="W105" i="1" s="1"/>
  <c r="E105" i="1"/>
  <c r="H105" i="1" s="1"/>
  <c r="K105" i="1" s="1"/>
  <c r="V103" i="1"/>
  <c r="W103" i="1" s="1"/>
  <c r="Z103" i="1" s="1"/>
  <c r="AD103" i="1" s="1"/>
  <c r="X101" i="1"/>
  <c r="P101" i="1"/>
  <c r="S101" i="1" s="1"/>
  <c r="W101" i="1" s="1"/>
  <c r="E101" i="1"/>
  <c r="H101" i="1" s="1"/>
  <c r="K101" i="1" s="1"/>
  <c r="M101" i="1" s="1"/>
  <c r="R100" i="1"/>
  <c r="S100" i="1" s="1"/>
  <c r="W100" i="1" s="1"/>
  <c r="Z100" i="1" s="1"/>
  <c r="AD100" i="1" s="1"/>
  <c r="P99" i="1"/>
  <c r="S99" i="1" s="1"/>
  <c r="W99" i="1" s="1"/>
  <c r="Z99" i="1" s="1"/>
  <c r="AD99" i="1" s="1"/>
  <c r="E99" i="1"/>
  <c r="H99" i="1" s="1"/>
  <c r="K99" i="1" s="1"/>
  <c r="X96" i="1"/>
  <c r="P96" i="1"/>
  <c r="S96" i="1" s="1"/>
  <c r="W96" i="1" s="1"/>
  <c r="E96" i="1"/>
  <c r="H96" i="1" s="1"/>
  <c r="K96" i="1" s="1"/>
  <c r="P95" i="1"/>
  <c r="S95" i="1" s="1"/>
  <c r="W95" i="1" s="1"/>
  <c r="Z95" i="1" s="1"/>
  <c r="AD95" i="1" s="1"/>
  <c r="E95" i="1"/>
  <c r="H95" i="1" s="1"/>
  <c r="K95" i="1" s="1"/>
  <c r="P94" i="1"/>
  <c r="S94" i="1" s="1"/>
  <c r="W94" i="1" s="1"/>
  <c r="Z94" i="1" s="1"/>
  <c r="AD94" i="1" s="1"/>
  <c r="E94" i="1"/>
  <c r="H94" i="1" s="1"/>
  <c r="K94" i="1" s="1"/>
  <c r="N94" i="1" s="1"/>
  <c r="W92" i="1"/>
  <c r="Z92" i="1" s="1"/>
  <c r="AD92" i="1" s="1"/>
  <c r="V92" i="1"/>
  <c r="P90" i="1"/>
  <c r="S90" i="1" s="1"/>
  <c r="W90" i="1" s="1"/>
  <c r="Z90" i="1" s="1"/>
  <c r="AD90" i="1" s="1"/>
  <c r="E90" i="1"/>
  <c r="H90" i="1" s="1"/>
  <c r="K90" i="1" s="1"/>
  <c r="V89" i="1"/>
  <c r="W89" i="1" s="1"/>
  <c r="Z89" i="1" s="1"/>
  <c r="AD89" i="1" s="1"/>
  <c r="X86" i="1"/>
  <c r="P86" i="1"/>
  <c r="S86" i="1" s="1"/>
  <c r="W86" i="1" s="1"/>
  <c r="E86" i="1"/>
  <c r="H86" i="1" s="1"/>
  <c r="K86" i="1" s="1"/>
  <c r="P85" i="1"/>
  <c r="S85" i="1" s="1"/>
  <c r="W85" i="1" s="1"/>
  <c r="Z85" i="1" s="1"/>
  <c r="AD85" i="1" s="1"/>
  <c r="E85" i="1"/>
  <c r="H85" i="1" s="1"/>
  <c r="K85" i="1" s="1"/>
  <c r="P82" i="1"/>
  <c r="S82" i="1" s="1"/>
  <c r="W82" i="1" s="1"/>
  <c r="Z82" i="1" s="1"/>
  <c r="AD82" i="1" s="1"/>
  <c r="E82" i="1"/>
  <c r="H82" i="1" s="1"/>
  <c r="K82" i="1" s="1"/>
  <c r="V79" i="1"/>
  <c r="W79" i="1" s="1"/>
  <c r="Z79" i="1" s="1"/>
  <c r="AD79" i="1" s="1"/>
  <c r="P78" i="1"/>
  <c r="S78" i="1" s="1"/>
  <c r="W78" i="1" s="1"/>
  <c r="Z78" i="1" s="1"/>
  <c r="AD78" i="1" s="1"/>
  <c r="E78" i="1"/>
  <c r="H78" i="1" s="1"/>
  <c r="K78" i="1" s="1"/>
  <c r="M78" i="1" s="1"/>
  <c r="X77" i="1"/>
  <c r="P77" i="1"/>
  <c r="S77" i="1" s="1"/>
  <c r="W77" i="1" s="1"/>
  <c r="F77" i="1"/>
  <c r="F70" i="1" s="1"/>
  <c r="E77" i="1"/>
  <c r="P76" i="1"/>
  <c r="S76" i="1" s="1"/>
  <c r="W76" i="1" s="1"/>
  <c r="Z76" i="1" s="1"/>
  <c r="AD76" i="1" s="1"/>
  <c r="E76" i="1"/>
  <c r="H76" i="1" s="1"/>
  <c r="K76" i="1" s="1"/>
  <c r="M76" i="1" s="1"/>
  <c r="P75" i="1"/>
  <c r="S75" i="1" s="1"/>
  <c r="W75" i="1" s="1"/>
  <c r="Z75" i="1" s="1"/>
  <c r="AD75" i="1" s="1"/>
  <c r="E75" i="1"/>
  <c r="H75" i="1" s="1"/>
  <c r="K75" i="1" s="1"/>
  <c r="X74" i="1"/>
  <c r="P74" i="1"/>
  <c r="S74" i="1" s="1"/>
  <c r="W74" i="1" s="1"/>
  <c r="E74" i="1"/>
  <c r="H74" i="1" s="1"/>
  <c r="K74" i="1" s="1"/>
  <c r="N74" i="1" s="1"/>
  <c r="Y73" i="1"/>
  <c r="R73" i="1"/>
  <c r="O73" i="1"/>
  <c r="P73" i="1" s="1"/>
  <c r="J73" i="1"/>
  <c r="G73" i="1"/>
  <c r="D73" i="1"/>
  <c r="P72" i="1"/>
  <c r="E72" i="1"/>
  <c r="H72" i="1" s="1"/>
  <c r="U70" i="1"/>
  <c r="T70" i="1"/>
  <c r="Q70" i="1"/>
  <c r="L70" i="1"/>
  <c r="I70" i="1"/>
  <c r="C70" i="1"/>
  <c r="P69" i="1"/>
  <c r="S69" i="1" s="1"/>
  <c r="W69" i="1" s="1"/>
  <c r="Z69" i="1" s="1"/>
  <c r="AD69" i="1" s="1"/>
  <c r="E69" i="1"/>
  <c r="H69" i="1" s="1"/>
  <c r="K69" i="1" s="1"/>
  <c r="P68" i="1"/>
  <c r="S68" i="1" s="1"/>
  <c r="W68" i="1" s="1"/>
  <c r="Z68" i="1" s="1"/>
  <c r="AD68" i="1" s="1"/>
  <c r="E68" i="1"/>
  <c r="H68" i="1" s="1"/>
  <c r="P67" i="1"/>
  <c r="S67" i="1" s="1"/>
  <c r="E67" i="1"/>
  <c r="H67" i="1" s="1"/>
  <c r="K67" i="1" s="1"/>
  <c r="Y65" i="1"/>
  <c r="X65" i="1"/>
  <c r="V65" i="1"/>
  <c r="U65" i="1"/>
  <c r="T65" i="1"/>
  <c r="R65" i="1"/>
  <c r="Q65" i="1"/>
  <c r="O65" i="1"/>
  <c r="L65" i="1"/>
  <c r="J65" i="1"/>
  <c r="I65" i="1"/>
  <c r="G65" i="1"/>
  <c r="F65" i="1"/>
  <c r="D65" i="1"/>
  <c r="C65" i="1"/>
  <c r="V64" i="1"/>
  <c r="R64" i="1"/>
  <c r="O64" i="1"/>
  <c r="P64" i="1" s="1"/>
  <c r="J64" i="1"/>
  <c r="G64" i="1"/>
  <c r="D64" i="1"/>
  <c r="P63" i="1"/>
  <c r="S63" i="1" s="1"/>
  <c r="W63" i="1" s="1"/>
  <c r="Z63" i="1" s="1"/>
  <c r="AD63" i="1" s="1"/>
  <c r="M63" i="1"/>
  <c r="Y59" i="1"/>
  <c r="V62" i="1"/>
  <c r="R62" i="1"/>
  <c r="O62" i="1"/>
  <c r="P62" i="1" s="1"/>
  <c r="J62" i="1"/>
  <c r="G62" i="1"/>
  <c r="D62" i="1"/>
  <c r="E62" i="1" s="1"/>
  <c r="P61" i="1"/>
  <c r="S61" i="1" s="1"/>
  <c r="W61" i="1" s="1"/>
  <c r="Z61" i="1" s="1"/>
  <c r="AD61" i="1" s="1"/>
  <c r="J61" i="1"/>
  <c r="E61" i="1"/>
  <c r="H61" i="1" s="1"/>
  <c r="X59" i="1"/>
  <c r="U59" i="1"/>
  <c r="T59" i="1"/>
  <c r="Q59" i="1"/>
  <c r="L59" i="1"/>
  <c r="I59" i="1"/>
  <c r="F59" i="1"/>
  <c r="C59" i="1"/>
  <c r="X58" i="1"/>
  <c r="O58" i="1"/>
  <c r="P58" i="1" s="1"/>
  <c r="S58" i="1" s="1"/>
  <c r="W58" i="1" s="1"/>
  <c r="G58" i="1"/>
  <c r="G51" i="1" s="1"/>
  <c r="D58" i="1"/>
  <c r="E58" i="1" s="1"/>
  <c r="S57" i="1"/>
  <c r="W57" i="1" s="1"/>
  <c r="Z57" i="1" s="1"/>
  <c r="AD57" i="1" s="1"/>
  <c r="P56" i="1"/>
  <c r="S56" i="1" s="1"/>
  <c r="W56" i="1" s="1"/>
  <c r="Z56" i="1" s="1"/>
  <c r="AD56" i="1" s="1"/>
  <c r="E56" i="1"/>
  <c r="H56" i="1" s="1"/>
  <c r="K56" i="1" s="1"/>
  <c r="X55" i="1"/>
  <c r="U55" i="1"/>
  <c r="U51" i="1" s="1"/>
  <c r="P55" i="1"/>
  <c r="S55" i="1" s="1"/>
  <c r="F55" i="1"/>
  <c r="F51" i="1" s="1"/>
  <c r="E55" i="1"/>
  <c r="P54" i="1"/>
  <c r="S54" i="1" s="1"/>
  <c r="W54" i="1" s="1"/>
  <c r="Z54" i="1" s="1"/>
  <c r="AD54" i="1" s="1"/>
  <c r="E54" i="1"/>
  <c r="H54" i="1" s="1"/>
  <c r="K54" i="1" s="1"/>
  <c r="O53" i="1"/>
  <c r="D53" i="1"/>
  <c r="E53" i="1" s="1"/>
  <c r="H53" i="1" s="1"/>
  <c r="Y51" i="1"/>
  <c r="V51" i="1"/>
  <c r="T51" i="1"/>
  <c r="R51" i="1"/>
  <c r="Q51" i="1"/>
  <c r="L51" i="1"/>
  <c r="J51" i="1"/>
  <c r="I51" i="1"/>
  <c r="C51" i="1"/>
  <c r="P50" i="1"/>
  <c r="S50" i="1" s="1"/>
  <c r="W50" i="1" s="1"/>
  <c r="Z50" i="1" s="1"/>
  <c r="AD50" i="1" s="1"/>
  <c r="E50" i="1"/>
  <c r="H50" i="1" s="1"/>
  <c r="K50" i="1" s="1"/>
  <c r="O49" i="1"/>
  <c r="P49" i="1" s="1"/>
  <c r="S49" i="1" s="1"/>
  <c r="W49" i="1" s="1"/>
  <c r="Z49" i="1" s="1"/>
  <c r="AD49" i="1" s="1"/>
  <c r="J49" i="1"/>
  <c r="E49" i="1"/>
  <c r="H49" i="1" s="1"/>
  <c r="Y48" i="1"/>
  <c r="Y45" i="1" s="1"/>
  <c r="V48" i="1"/>
  <c r="P48" i="1"/>
  <c r="S48" i="1" s="1"/>
  <c r="J48" i="1"/>
  <c r="G48" i="1"/>
  <c r="D48" i="1"/>
  <c r="E48" i="1" s="1"/>
  <c r="V47" i="1"/>
  <c r="R47" i="1"/>
  <c r="R45" i="1" s="1"/>
  <c r="O47" i="1"/>
  <c r="J47" i="1"/>
  <c r="G47" i="1"/>
  <c r="E47" i="1"/>
  <c r="X45" i="1"/>
  <c r="U45" i="1"/>
  <c r="T45" i="1"/>
  <c r="Q45" i="1"/>
  <c r="L45" i="1"/>
  <c r="I45" i="1"/>
  <c r="F45" i="1"/>
  <c r="C45" i="1"/>
  <c r="Y44" i="1"/>
  <c r="R44" i="1"/>
  <c r="O44" i="1"/>
  <c r="P44" i="1" s="1"/>
  <c r="J44" i="1"/>
  <c r="I44" i="1"/>
  <c r="G44" i="1"/>
  <c r="D44" i="1"/>
  <c r="E44" i="1" s="1"/>
  <c r="R43" i="1"/>
  <c r="S43" i="1" s="1"/>
  <c r="W43" i="1" s="1"/>
  <c r="Z43" i="1" s="1"/>
  <c r="AD43" i="1" s="1"/>
  <c r="S42" i="1"/>
  <c r="W42" i="1" s="1"/>
  <c r="Z42" i="1" s="1"/>
  <c r="AD42" i="1" s="1"/>
  <c r="R41" i="1"/>
  <c r="S41" i="1" s="1"/>
  <c r="W41" i="1" s="1"/>
  <c r="Z41" i="1" s="1"/>
  <c r="AD41" i="1" s="1"/>
  <c r="W40" i="1"/>
  <c r="Z40" i="1" s="1"/>
  <c r="AD40" i="1" s="1"/>
  <c r="P39" i="1"/>
  <c r="S39" i="1" s="1"/>
  <c r="W39" i="1" s="1"/>
  <c r="Z39" i="1" s="1"/>
  <c r="AD39" i="1" s="1"/>
  <c r="P38" i="1"/>
  <c r="S38" i="1" s="1"/>
  <c r="W38" i="1" s="1"/>
  <c r="Z38" i="1" s="1"/>
  <c r="AD38" i="1" s="1"/>
  <c r="S37" i="1"/>
  <c r="W37" i="1" s="1"/>
  <c r="Z37" i="1" s="1"/>
  <c r="AD37" i="1" s="1"/>
  <c r="P36" i="1"/>
  <c r="S36" i="1" s="1"/>
  <c r="W36" i="1" s="1"/>
  <c r="Z36" i="1" s="1"/>
  <c r="AD36" i="1" s="1"/>
  <c r="P35" i="1"/>
  <c r="S35" i="1" s="1"/>
  <c r="W35" i="1" s="1"/>
  <c r="Z35" i="1" s="1"/>
  <c r="AD35" i="1" s="1"/>
  <c r="O34" i="1"/>
  <c r="P34" i="1" s="1"/>
  <c r="S34" i="1" s="1"/>
  <c r="W34" i="1" s="1"/>
  <c r="Z34" i="1" s="1"/>
  <c r="AD34" i="1" s="1"/>
  <c r="S33" i="1"/>
  <c r="W33" i="1" s="1"/>
  <c r="Z33" i="1" s="1"/>
  <c r="AD33" i="1" s="1"/>
  <c r="W32" i="1"/>
  <c r="Z32" i="1" s="1"/>
  <c r="AD32" i="1" s="1"/>
  <c r="P31" i="1"/>
  <c r="S31" i="1" s="1"/>
  <c r="W31" i="1" s="1"/>
  <c r="Z31" i="1" s="1"/>
  <c r="AD31" i="1" s="1"/>
  <c r="R30" i="1"/>
  <c r="W29" i="1"/>
  <c r="Z29" i="1" s="1"/>
  <c r="AD29" i="1" s="1"/>
  <c r="O28" i="1"/>
  <c r="P28" i="1" s="1"/>
  <c r="S27" i="1"/>
  <c r="W27" i="1" s="1"/>
  <c r="Z27" i="1" s="1"/>
  <c r="AD27" i="1" s="1"/>
  <c r="S26" i="1"/>
  <c r="W26" i="1" s="1"/>
  <c r="Z26" i="1" s="1"/>
  <c r="AD26" i="1" s="1"/>
  <c r="Y25" i="1"/>
  <c r="Z25" i="1" s="1"/>
  <c r="AD25" i="1" s="1"/>
  <c r="X23" i="1"/>
  <c r="V23" i="1"/>
  <c r="U23" i="1"/>
  <c r="T23" i="1"/>
  <c r="Q23" i="1"/>
  <c r="M23" i="1"/>
  <c r="L23" i="1"/>
  <c r="J23" i="1"/>
  <c r="I23" i="1"/>
  <c r="H23" i="1"/>
  <c r="K23" i="1" s="1"/>
  <c r="G23" i="1"/>
  <c r="F23" i="1"/>
  <c r="D23" i="1"/>
  <c r="C23" i="1"/>
  <c r="Y19" i="1"/>
  <c r="X19" i="1"/>
  <c r="V19" i="1"/>
  <c r="U19" i="1"/>
  <c r="T19" i="1"/>
  <c r="R19" i="1"/>
  <c r="Q19" i="1"/>
  <c r="L19" i="1"/>
  <c r="J19" i="1"/>
  <c r="I19" i="1"/>
  <c r="G19" i="1"/>
  <c r="F19" i="1"/>
  <c r="C19" i="1"/>
  <c r="P18" i="1"/>
  <c r="S18" i="1" s="1"/>
  <c r="W18" i="1" s="1"/>
  <c r="Z18" i="1" s="1"/>
  <c r="AD18" i="1" s="1"/>
  <c r="E18" i="1"/>
  <c r="H18" i="1" s="1"/>
  <c r="K18" i="1" s="1"/>
  <c r="P17" i="1"/>
  <c r="S17" i="1" s="1"/>
  <c r="W17" i="1" s="1"/>
  <c r="Z17" i="1" s="1"/>
  <c r="AD17" i="1" s="1"/>
  <c r="M17" i="1"/>
  <c r="P16" i="1"/>
  <c r="S16" i="1" s="1"/>
  <c r="W16" i="1" s="1"/>
  <c r="Z16" i="1" s="1"/>
  <c r="AD16" i="1" s="1"/>
  <c r="E16" i="1"/>
  <c r="H16" i="1" s="1"/>
  <c r="K16" i="1" s="1"/>
  <c r="M16" i="1" s="1"/>
  <c r="P15" i="1"/>
  <c r="S15" i="1" s="1"/>
  <c r="W15" i="1" s="1"/>
  <c r="Z15" i="1" s="1"/>
  <c r="AD15" i="1" s="1"/>
  <c r="E15" i="1"/>
  <c r="H15" i="1" s="1"/>
  <c r="K15" i="1" s="1"/>
  <c r="M15" i="1" s="1"/>
  <c r="P14" i="1"/>
  <c r="S14" i="1" s="1"/>
  <c r="W14" i="1" s="1"/>
  <c r="Z14" i="1" s="1"/>
  <c r="AD14" i="1" s="1"/>
  <c r="E14" i="1"/>
  <c r="H14" i="1" s="1"/>
  <c r="K14" i="1" s="1"/>
  <c r="P13" i="1"/>
  <c r="S13" i="1" s="1"/>
  <c r="W13" i="1" s="1"/>
  <c r="Z13" i="1" s="1"/>
  <c r="AD13" i="1" s="1"/>
  <c r="E13" i="1"/>
  <c r="H13" i="1" s="1"/>
  <c r="K13" i="1" s="1"/>
  <c r="N13" i="1" s="1"/>
  <c r="O12" i="1"/>
  <c r="O19" i="1" s="1"/>
  <c r="D12" i="1"/>
  <c r="D19" i="1" s="1"/>
  <c r="Y9" i="1"/>
  <c r="X9" i="1"/>
  <c r="U9" i="1"/>
  <c r="T9" i="1"/>
  <c r="Q9" i="1"/>
  <c r="L9" i="1"/>
  <c r="I9" i="1"/>
  <c r="I20" i="1" s="1"/>
  <c r="C9" i="1"/>
  <c r="V8" i="1"/>
  <c r="R8" i="1"/>
  <c r="O8" i="1"/>
  <c r="P8" i="1" s="1"/>
  <c r="J8" i="1"/>
  <c r="G8" i="1"/>
  <c r="D8" i="1"/>
  <c r="E8" i="1" s="1"/>
  <c r="P7" i="1"/>
  <c r="S7" i="1" s="1"/>
  <c r="W7" i="1" s="1"/>
  <c r="Z7" i="1" s="1"/>
  <c r="AD7" i="1" s="1"/>
  <c r="E7" i="1"/>
  <c r="H7" i="1" s="1"/>
  <c r="K7" i="1" s="1"/>
  <c r="N7" i="1" s="1"/>
  <c r="V6" i="1"/>
  <c r="R6" i="1"/>
  <c r="O6" i="1"/>
  <c r="J6" i="1"/>
  <c r="G6" i="1"/>
  <c r="D6" i="1"/>
  <c r="E6" i="1" s="1"/>
  <c r="P5" i="1"/>
  <c r="S5" i="1" s="1"/>
  <c r="F5" i="1"/>
  <c r="E5" i="1"/>
  <c r="S185" i="1" l="1"/>
  <c r="Z226" i="1"/>
  <c r="AD226" i="1" s="1"/>
  <c r="E186" i="1"/>
  <c r="Z413" i="1"/>
  <c r="AD413" i="1" s="1"/>
  <c r="H386" i="1"/>
  <c r="W185" i="1"/>
  <c r="Z185" i="1" s="1"/>
  <c r="AD185" i="1" s="1"/>
  <c r="H298" i="1"/>
  <c r="K298" i="1" s="1"/>
  <c r="M298" i="1" s="1"/>
  <c r="T20" i="1"/>
  <c r="S318" i="1"/>
  <c r="W318" i="1" s="1"/>
  <c r="Z318" i="1" s="1"/>
  <c r="AD318" i="1" s="1"/>
  <c r="J381" i="1"/>
  <c r="Z58" i="1"/>
  <c r="AD58" i="1" s="1"/>
  <c r="U20" i="1"/>
  <c r="G314" i="1"/>
  <c r="H239" i="1"/>
  <c r="K239" i="1" s="1"/>
  <c r="N239" i="1" s="1"/>
  <c r="R286" i="1"/>
  <c r="W271" i="1"/>
  <c r="Z271" i="1" s="1"/>
  <c r="AD271" i="1" s="1"/>
  <c r="R291" i="1"/>
  <c r="R374" i="1"/>
  <c r="N23" i="1"/>
  <c r="K321" i="1"/>
  <c r="M321" i="1" s="1"/>
  <c r="D334" i="1"/>
  <c r="E334" i="1" s="1"/>
  <c r="G209" i="1"/>
  <c r="G59" i="1"/>
  <c r="S294" i="1"/>
  <c r="W294" i="1" s="1"/>
  <c r="Z294" i="1" s="1"/>
  <c r="AD294" i="1" s="1"/>
  <c r="E368" i="1"/>
  <c r="Y209" i="1"/>
  <c r="Y20" i="1"/>
  <c r="G186" i="1"/>
  <c r="E296" i="1"/>
  <c r="E397" i="1"/>
  <c r="G70" i="1"/>
  <c r="Z158" i="1"/>
  <c r="AD158" i="1" s="1"/>
  <c r="W317" i="1"/>
  <c r="Z317" i="1" s="1"/>
  <c r="AD317" i="1" s="1"/>
  <c r="O186" i="1"/>
  <c r="H211" i="1"/>
  <c r="K211" i="1" s="1"/>
  <c r="M211" i="1" s="1"/>
  <c r="J70" i="1"/>
  <c r="O296" i="1"/>
  <c r="J9" i="1"/>
  <c r="J20" i="1" s="1"/>
  <c r="Y70" i="1"/>
  <c r="H363" i="1"/>
  <c r="K363" i="1" s="1"/>
  <c r="M363" i="1" s="1"/>
  <c r="X51" i="1"/>
  <c r="O70" i="1"/>
  <c r="V59" i="1"/>
  <c r="H258" i="1"/>
  <c r="K258" i="1" s="1"/>
  <c r="M258" i="1" s="1"/>
  <c r="H62" i="1"/>
  <c r="K62" i="1" s="1"/>
  <c r="N62" i="1" s="1"/>
  <c r="S64" i="1"/>
  <c r="W64" i="1" s="1"/>
  <c r="Z64" i="1" s="1"/>
  <c r="AD64" i="1" s="1"/>
  <c r="O259" i="1"/>
  <c r="E330" i="1"/>
  <c r="S337" i="1"/>
  <c r="W337" i="1" s="1"/>
  <c r="Z337" i="1" s="1"/>
  <c r="AD337" i="1" s="1"/>
  <c r="E389" i="1"/>
  <c r="R59" i="1"/>
  <c r="Z114" i="1"/>
  <c r="AD114" i="1" s="1"/>
  <c r="S289" i="1"/>
  <c r="W289" i="1" s="1"/>
  <c r="Z289" i="1" s="1"/>
  <c r="AD289" i="1" s="1"/>
  <c r="Z121" i="1"/>
  <c r="AD121" i="1" s="1"/>
  <c r="E308" i="1"/>
  <c r="H5" i="1"/>
  <c r="K5" i="1" s="1"/>
  <c r="E12" i="1"/>
  <c r="H12" i="1" s="1"/>
  <c r="H19" i="1" s="1"/>
  <c r="K19" i="1" s="1"/>
  <c r="N19" i="1" s="1"/>
  <c r="O23" i="1"/>
  <c r="G296" i="1"/>
  <c r="P330" i="1"/>
  <c r="D45" i="1"/>
  <c r="E45" i="1" s="1"/>
  <c r="H185" i="1"/>
  <c r="K185" i="1" s="1"/>
  <c r="M185" i="1" s="1"/>
  <c r="S396" i="1"/>
  <c r="W396" i="1" s="1"/>
  <c r="Z396" i="1" s="1"/>
  <c r="AD396" i="1" s="1"/>
  <c r="V9" i="1"/>
  <c r="V20" i="1" s="1"/>
  <c r="H44" i="1"/>
  <c r="K44" i="1" s="1"/>
  <c r="N44" i="1" s="1"/>
  <c r="D51" i="1"/>
  <c r="E51" i="1" s="1"/>
  <c r="Z101" i="1"/>
  <c r="AD101" i="1" s="1"/>
  <c r="R186" i="1"/>
  <c r="Z221" i="1"/>
  <c r="AD221" i="1" s="1"/>
  <c r="O263" i="1"/>
  <c r="S290" i="1"/>
  <c r="W290" i="1" s="1"/>
  <c r="Z290" i="1" s="1"/>
  <c r="AD290" i="1" s="1"/>
  <c r="P291" i="1"/>
  <c r="H316" i="1"/>
  <c r="K316" i="1" s="1"/>
  <c r="N316" i="1" s="1"/>
  <c r="K317" i="1"/>
  <c r="N317" i="1" s="1"/>
  <c r="H318" i="1"/>
  <c r="K318" i="1" s="1"/>
  <c r="M318" i="1" s="1"/>
  <c r="O374" i="1"/>
  <c r="E414" i="1"/>
  <c r="K320" i="1"/>
  <c r="N320" i="1" s="1"/>
  <c r="J374" i="1"/>
  <c r="P202" i="1"/>
  <c r="P199" i="1" s="1"/>
  <c r="E295" i="1"/>
  <c r="H295" i="1" s="1"/>
  <c r="K295" i="1" s="1"/>
  <c r="N295" i="1" s="1"/>
  <c r="N410" i="1"/>
  <c r="R9" i="1"/>
  <c r="R20" i="1" s="1"/>
  <c r="P12" i="1"/>
  <c r="S12" i="1" s="1"/>
  <c r="R23" i="1"/>
  <c r="D59" i="1"/>
  <c r="E59" i="1" s="1"/>
  <c r="P296" i="1"/>
  <c r="U324" i="1"/>
  <c r="U403" i="1" s="1"/>
  <c r="O381" i="1"/>
  <c r="K386" i="1"/>
  <c r="N386" i="1" s="1"/>
  <c r="M179" i="1"/>
  <c r="M214" i="1"/>
  <c r="M228" i="1"/>
  <c r="M279" i="1"/>
  <c r="N279" i="1"/>
  <c r="P243" i="1"/>
  <c r="S243" i="1" s="1"/>
  <c r="W243" i="1" s="1"/>
  <c r="Z243" i="1" s="1"/>
  <c r="AD243" i="1" s="1"/>
  <c r="O209" i="1"/>
  <c r="P263" i="1"/>
  <c r="W272" i="1"/>
  <c r="Z272" i="1" s="1"/>
  <c r="AD272" i="1" s="1"/>
  <c r="V263" i="1"/>
  <c r="P312" i="1"/>
  <c r="S312" i="1" s="1"/>
  <c r="W312" i="1" s="1"/>
  <c r="Z312" i="1" s="1"/>
  <c r="AD312" i="1" s="1"/>
  <c r="O308" i="1"/>
  <c r="S330" i="1"/>
  <c r="W332" i="1"/>
  <c r="M365" i="1"/>
  <c r="N365" i="1"/>
  <c r="L20" i="1"/>
  <c r="X20" i="1"/>
  <c r="C20" i="1"/>
  <c r="Q302" i="1"/>
  <c r="S30" i="1"/>
  <c r="W30" i="1" s="1"/>
  <c r="Z30" i="1" s="1"/>
  <c r="AD30" i="1" s="1"/>
  <c r="G45" i="1"/>
  <c r="V45" i="1"/>
  <c r="K49" i="1"/>
  <c r="M49" i="1" s="1"/>
  <c r="O51" i="1"/>
  <c r="S62" i="1"/>
  <c r="W62" i="1" s="1"/>
  <c r="E64" i="1"/>
  <c r="H64" i="1" s="1"/>
  <c r="K64" i="1" s="1"/>
  <c r="E65" i="1"/>
  <c r="H77" i="1"/>
  <c r="K77" i="1" s="1"/>
  <c r="N77" i="1" s="1"/>
  <c r="Z96" i="1"/>
  <c r="AD96" i="1" s="1"/>
  <c r="R70" i="1"/>
  <c r="Z105" i="1"/>
  <c r="AD105" i="1" s="1"/>
  <c r="Z140" i="1"/>
  <c r="AD140" i="1" s="1"/>
  <c r="N178" i="1"/>
  <c r="H188" i="1"/>
  <c r="P188" i="1"/>
  <c r="S188" i="1" s="1"/>
  <c r="W188" i="1" s="1"/>
  <c r="H190" i="1"/>
  <c r="K190" i="1" s="1"/>
  <c r="S198" i="1"/>
  <c r="W198" i="1" s="1"/>
  <c r="Z198" i="1" s="1"/>
  <c r="AD198" i="1" s="1"/>
  <c r="M202" i="1"/>
  <c r="W211" i="1"/>
  <c r="Z211" i="1" s="1"/>
  <c r="AD211" i="1" s="1"/>
  <c r="Z224" i="1"/>
  <c r="AD224" i="1" s="1"/>
  <c r="M231" i="1"/>
  <c r="N250" i="1"/>
  <c r="M268" i="1"/>
  <c r="N268" i="1"/>
  <c r="J296" i="1"/>
  <c r="R324" i="1"/>
  <c r="H368" i="1"/>
  <c r="K368" i="1" s="1"/>
  <c r="N368" i="1" s="1"/>
  <c r="D374" i="1"/>
  <c r="E374" i="1" s="1"/>
  <c r="C302" i="1"/>
  <c r="E302" i="1" s="1"/>
  <c r="Y23" i="1"/>
  <c r="W48" i="1"/>
  <c r="Z48" i="1" s="1"/>
  <c r="AD48" i="1" s="1"/>
  <c r="J45" i="1"/>
  <c r="W55" i="1"/>
  <c r="Z55" i="1" s="1"/>
  <c r="AD55" i="1" s="1"/>
  <c r="H58" i="1"/>
  <c r="K58" i="1" s="1"/>
  <c r="M58" i="1" s="1"/>
  <c r="J59" i="1"/>
  <c r="S73" i="1"/>
  <c r="W73" i="1" s="1"/>
  <c r="Z73" i="1" s="1"/>
  <c r="AD73" i="1" s="1"/>
  <c r="Z74" i="1"/>
  <c r="AD74" i="1" s="1"/>
  <c r="V70" i="1"/>
  <c r="Z107" i="1"/>
  <c r="AD107" i="1" s="1"/>
  <c r="Z117" i="1"/>
  <c r="AD117" i="1" s="1"/>
  <c r="Z130" i="1"/>
  <c r="AD130" i="1" s="1"/>
  <c r="N205" i="1"/>
  <c r="M205" i="1"/>
  <c r="Z218" i="1"/>
  <c r="AD218" i="1" s="1"/>
  <c r="E263" i="1"/>
  <c r="E286" i="1"/>
  <c r="K312" i="1"/>
  <c r="N312" i="1" s="1"/>
  <c r="P314" i="1"/>
  <c r="K319" i="1"/>
  <c r="M319" i="1" s="1"/>
  <c r="H330" i="1"/>
  <c r="K330" i="1" s="1"/>
  <c r="M330" i="1"/>
  <c r="P334" i="1"/>
  <c r="S336" i="1"/>
  <c r="W336" i="1" s="1"/>
  <c r="Z336" i="1" s="1"/>
  <c r="AD336" i="1" s="1"/>
  <c r="Z364" i="1"/>
  <c r="AD364" i="1" s="1"/>
  <c r="S379" i="1"/>
  <c r="W379" i="1" s="1"/>
  <c r="Z379" i="1" s="1"/>
  <c r="AD379" i="1" s="1"/>
  <c r="S418" i="1"/>
  <c r="T417" i="1"/>
  <c r="W417" i="1" s="1"/>
  <c r="Z417" i="1" s="1"/>
  <c r="H8" i="1"/>
  <c r="K8" i="1" s="1"/>
  <c r="N8" i="1" s="1"/>
  <c r="S8" i="1"/>
  <c r="W8" i="1" s="1"/>
  <c r="Z8" i="1" s="1"/>
  <c r="AD8" i="1" s="1"/>
  <c r="D9" i="1"/>
  <c r="D20" i="1" s="1"/>
  <c r="Q20" i="1"/>
  <c r="I302" i="1"/>
  <c r="U302" i="1"/>
  <c r="H48" i="1"/>
  <c r="K48" i="1" s="1"/>
  <c r="M48" i="1" s="1"/>
  <c r="Z77" i="1"/>
  <c r="AD77" i="1" s="1"/>
  <c r="Z109" i="1"/>
  <c r="AD109" i="1" s="1"/>
  <c r="Z112" i="1"/>
  <c r="AD112" i="1" s="1"/>
  <c r="Z115" i="1"/>
  <c r="AD115" i="1" s="1"/>
  <c r="Z119" i="1"/>
  <c r="AD119" i="1" s="1"/>
  <c r="Z122" i="1"/>
  <c r="AD122" i="1" s="1"/>
  <c r="Z126" i="1"/>
  <c r="AD126" i="1" s="1"/>
  <c r="Z127" i="1"/>
  <c r="AD127" i="1" s="1"/>
  <c r="Z203" i="1"/>
  <c r="AD203" i="1" s="1"/>
  <c r="X199" i="1"/>
  <c r="S258" i="1"/>
  <c r="W258" i="1" s="1"/>
  <c r="Z258" i="1" s="1"/>
  <c r="AD258" i="1" s="1"/>
  <c r="N266" i="1"/>
  <c r="M266" i="1"/>
  <c r="S301" i="1"/>
  <c r="S296" i="1" s="1"/>
  <c r="M322" i="1"/>
  <c r="N322" i="1"/>
  <c r="S329" i="1"/>
  <c r="W329" i="1" s="1"/>
  <c r="Z329" i="1" s="1"/>
  <c r="AD329" i="1" s="1"/>
  <c r="H377" i="1"/>
  <c r="K377" i="1" s="1"/>
  <c r="N377" i="1" s="1"/>
  <c r="E291" i="1"/>
  <c r="S295" i="1"/>
  <c r="W295" i="1" s="1"/>
  <c r="Z295" i="1" s="1"/>
  <c r="AD295" i="1" s="1"/>
  <c r="Y314" i="1"/>
  <c r="Y403" i="1" s="1"/>
  <c r="V314" i="1"/>
  <c r="E355" i="1"/>
  <c r="E360" i="1"/>
  <c r="H385" i="1"/>
  <c r="K385" i="1" s="1"/>
  <c r="N385" i="1" s="1"/>
  <c r="H389" i="1"/>
  <c r="K389" i="1" s="1"/>
  <c r="N389" i="1" s="1"/>
  <c r="R397" i="1"/>
  <c r="H208" i="1"/>
  <c r="K208" i="1" s="1"/>
  <c r="M208" i="1" s="1"/>
  <c r="S262" i="1"/>
  <c r="W262" i="1" s="1"/>
  <c r="Z262" i="1" s="1"/>
  <c r="AD262" i="1" s="1"/>
  <c r="V296" i="1"/>
  <c r="H301" i="1"/>
  <c r="K301" i="1" s="1"/>
  <c r="T403" i="1"/>
  <c r="E314" i="1"/>
  <c r="S319" i="1"/>
  <c r="W319" i="1" s="1"/>
  <c r="Z319" i="1" s="1"/>
  <c r="AD319" i="1" s="1"/>
  <c r="X324" i="1"/>
  <c r="X403" i="1" s="1"/>
  <c r="K378" i="1"/>
  <c r="M378" i="1" s="1"/>
  <c r="S378" i="1"/>
  <c r="W378" i="1" s="1"/>
  <c r="Z378" i="1" s="1"/>
  <c r="AD378" i="1" s="1"/>
  <c r="G381" i="1"/>
  <c r="P397" i="1"/>
  <c r="H400" i="1"/>
  <c r="K400" i="1" s="1"/>
  <c r="M413" i="1"/>
  <c r="N85" i="1"/>
  <c r="M85" i="1"/>
  <c r="N69" i="1"/>
  <c r="M69" i="1"/>
  <c r="K68" i="1"/>
  <c r="M68" i="1" s="1"/>
  <c r="H65" i="1"/>
  <c r="K65" i="1" s="1"/>
  <c r="N65" i="1" s="1"/>
  <c r="N121" i="1"/>
  <c r="M121" i="1"/>
  <c r="H55" i="1"/>
  <c r="K55" i="1" s="1"/>
  <c r="M55" i="1" s="1"/>
  <c r="M132" i="1"/>
  <c r="M163" i="1"/>
  <c r="N67" i="1"/>
  <c r="M67" i="1"/>
  <c r="M82" i="1"/>
  <c r="N82" i="1"/>
  <c r="N90" i="1"/>
  <c r="M90" i="1"/>
  <c r="N99" i="1"/>
  <c r="M99" i="1"/>
  <c r="N130" i="1"/>
  <c r="M130" i="1"/>
  <c r="N139" i="1"/>
  <c r="M139" i="1"/>
  <c r="W5" i="1"/>
  <c r="S65" i="1"/>
  <c r="W67" i="1"/>
  <c r="N86" i="1"/>
  <c r="M86" i="1"/>
  <c r="M107" i="1"/>
  <c r="N107" i="1"/>
  <c r="H6" i="1"/>
  <c r="K6" i="1" s="1"/>
  <c r="E9" i="1"/>
  <c r="N54" i="1"/>
  <c r="M54" i="1"/>
  <c r="M95" i="1"/>
  <c r="N95" i="1"/>
  <c r="M115" i="1"/>
  <c r="N115" i="1"/>
  <c r="M135" i="1"/>
  <c r="N135" i="1"/>
  <c r="M155" i="1"/>
  <c r="N155" i="1"/>
  <c r="N56" i="1"/>
  <c r="M56" i="1"/>
  <c r="N75" i="1"/>
  <c r="M75" i="1"/>
  <c r="N112" i="1"/>
  <c r="M112" i="1"/>
  <c r="M126" i="1"/>
  <c r="N126" i="1"/>
  <c r="N50" i="1"/>
  <c r="M50" i="1"/>
  <c r="K53" i="1"/>
  <c r="N96" i="1"/>
  <c r="M96" i="1"/>
  <c r="N105" i="1"/>
  <c r="M105" i="1"/>
  <c r="M18" i="1"/>
  <c r="N18" i="1"/>
  <c r="N14" i="1"/>
  <c r="M14" i="1"/>
  <c r="M13" i="1"/>
  <c r="F9" i="1"/>
  <c r="F20" i="1" s="1"/>
  <c r="E19" i="1"/>
  <c r="P23" i="1"/>
  <c r="H47" i="1"/>
  <c r="P47" i="1"/>
  <c r="O45" i="1"/>
  <c r="O59" i="1"/>
  <c r="M74" i="1"/>
  <c r="N78" i="1"/>
  <c r="M94" i="1"/>
  <c r="M109" i="1"/>
  <c r="M114" i="1"/>
  <c r="M119" i="1"/>
  <c r="N122" i="1"/>
  <c r="M127" i="1"/>
  <c r="M137" i="1"/>
  <c r="N168" i="1"/>
  <c r="M180" i="1"/>
  <c r="N180" i="1"/>
  <c r="N191" i="1"/>
  <c r="M191" i="1"/>
  <c r="G9" i="1"/>
  <c r="G20" i="1" s="1"/>
  <c r="F302" i="1"/>
  <c r="S28" i="1"/>
  <c r="W28" i="1" s="1"/>
  <c r="Z28" i="1" s="1"/>
  <c r="AD28" i="1" s="1"/>
  <c r="P59" i="1"/>
  <c r="K72" i="1"/>
  <c r="M72" i="1" s="1"/>
  <c r="N117" i="1"/>
  <c r="N167" i="1"/>
  <c r="M167" i="1"/>
  <c r="M170" i="1"/>
  <c r="N170" i="1"/>
  <c r="N171" i="1"/>
  <c r="M171" i="1"/>
  <c r="N192" i="1"/>
  <c r="M204" i="1"/>
  <c r="N204" i="1"/>
  <c r="N207" i="1"/>
  <c r="M212" i="1"/>
  <c r="N212" i="1"/>
  <c r="N221" i="1"/>
  <c r="M221" i="1"/>
  <c r="N223" i="1"/>
  <c r="M223" i="1"/>
  <c r="M229" i="1"/>
  <c r="N229" i="1"/>
  <c r="N248" i="1"/>
  <c r="M248" i="1"/>
  <c r="M281" i="1"/>
  <c r="N281" i="1"/>
  <c r="K299" i="1"/>
  <c r="S44" i="1"/>
  <c r="W44" i="1" s="1"/>
  <c r="Z44" i="1" s="1"/>
  <c r="AD44" i="1" s="1"/>
  <c r="K61" i="1"/>
  <c r="P65" i="1"/>
  <c r="E73" i="1"/>
  <c r="H73" i="1" s="1"/>
  <c r="K73" i="1" s="1"/>
  <c r="D70" i="1"/>
  <c r="E70" i="1" s="1"/>
  <c r="Z86" i="1"/>
  <c r="AD86" i="1" s="1"/>
  <c r="M153" i="1"/>
  <c r="N153" i="1"/>
  <c r="M173" i="1"/>
  <c r="N173" i="1"/>
  <c r="N174" i="1"/>
  <c r="M174" i="1"/>
  <c r="N189" i="1"/>
  <c r="M189" i="1"/>
  <c r="M194" i="1"/>
  <c r="N194" i="1"/>
  <c r="N195" i="1"/>
  <c r="M195" i="1"/>
  <c r="K201" i="1"/>
  <c r="W212" i="1"/>
  <c r="Z212" i="1" s="1"/>
  <c r="AD212" i="1" s="1"/>
  <c r="M218" i="1"/>
  <c r="N218" i="1"/>
  <c r="N234" i="1"/>
  <c r="M234" i="1"/>
  <c r="M241" i="1"/>
  <c r="N241" i="1"/>
  <c r="N290" i="1"/>
  <c r="M290" i="1"/>
  <c r="O9" i="1"/>
  <c r="O20" i="1" s="1"/>
  <c r="P6" i="1"/>
  <c r="S6" i="1" s="1"/>
  <c r="W6" i="1" s="1"/>
  <c r="Z6" i="1" s="1"/>
  <c r="AD6" i="1" s="1"/>
  <c r="S72" i="1"/>
  <c r="P70" i="1"/>
  <c r="M160" i="1"/>
  <c r="N160" i="1"/>
  <c r="M176" i="1"/>
  <c r="N176" i="1"/>
  <c r="N177" i="1"/>
  <c r="M177" i="1"/>
  <c r="N193" i="1"/>
  <c r="M193" i="1"/>
  <c r="N198" i="1"/>
  <c r="M198" i="1"/>
  <c r="N203" i="1"/>
  <c r="M203" i="1"/>
  <c r="N225" i="1"/>
  <c r="M225" i="1"/>
  <c r="M237" i="1"/>
  <c r="N237" i="1"/>
  <c r="M247" i="1"/>
  <c r="N247" i="1"/>
  <c r="M270" i="1"/>
  <c r="N270" i="1"/>
  <c r="N277" i="1"/>
  <c r="M277" i="1"/>
  <c r="N278" i="1"/>
  <c r="M278" i="1"/>
  <c r="M7" i="1"/>
  <c r="E23" i="1"/>
  <c r="P53" i="1"/>
  <c r="X70" i="1"/>
  <c r="N76" i="1"/>
  <c r="N101" i="1"/>
  <c r="N206" i="1"/>
  <c r="M206" i="1"/>
  <c r="N235" i="1"/>
  <c r="M235" i="1"/>
  <c r="N236" i="1"/>
  <c r="M236" i="1"/>
  <c r="M242" i="1"/>
  <c r="N242" i="1"/>
  <c r="M276" i="1"/>
  <c r="N276" i="1"/>
  <c r="M283" i="1"/>
  <c r="N283" i="1"/>
  <c r="L302" i="1"/>
  <c r="T302" i="1"/>
  <c r="E199" i="1"/>
  <c r="D209" i="1"/>
  <c r="E209" i="1" s="1"/>
  <c r="V209" i="1"/>
  <c r="N213" i="1"/>
  <c r="N219" i="1"/>
  <c r="N230" i="1"/>
  <c r="N249" i="1"/>
  <c r="N280" i="1"/>
  <c r="H286" i="1"/>
  <c r="K286" i="1" s="1"/>
  <c r="N286" i="1" s="1"/>
  <c r="G291" i="1"/>
  <c r="H293" i="1"/>
  <c r="W299" i="1"/>
  <c r="Z299" i="1" s="1"/>
  <c r="AD299" i="1" s="1"/>
  <c r="R314" i="1"/>
  <c r="S316" i="1"/>
  <c r="G334" i="1"/>
  <c r="H337" i="1"/>
  <c r="H358" i="1"/>
  <c r="Z208" i="1"/>
  <c r="AD208" i="1" s="1"/>
  <c r="X209" i="1"/>
  <c r="H294" i="1"/>
  <c r="K294" i="1" s="1"/>
  <c r="K310" i="1"/>
  <c r="M310" i="1" s="1"/>
  <c r="H308" i="1"/>
  <c r="K308" i="1" s="1"/>
  <c r="N308" i="1" s="1"/>
  <c r="W357" i="1"/>
  <c r="M267" i="1"/>
  <c r="N267" i="1"/>
  <c r="N289" i="1"/>
  <c r="M289" i="1"/>
  <c r="K307" i="1"/>
  <c r="M307" i="1" s="1"/>
  <c r="M305" i="1" s="1"/>
  <c r="H305" i="1"/>
  <c r="Z326" i="1"/>
  <c r="AD326" i="1" s="1"/>
  <c r="M329" i="1"/>
  <c r="N329" i="1"/>
  <c r="W353" i="1"/>
  <c r="Z353" i="1" s="1"/>
  <c r="AD353" i="1" s="1"/>
  <c r="V334" i="1"/>
  <c r="M364" i="1"/>
  <c r="N364" i="1"/>
  <c r="S377" i="1"/>
  <c r="W377" i="1" s="1"/>
  <c r="Z377" i="1" s="1"/>
  <c r="AD377" i="1" s="1"/>
  <c r="P374" i="1"/>
  <c r="M215" i="1"/>
  <c r="R209" i="1"/>
  <c r="N233" i="1"/>
  <c r="M240" i="1"/>
  <c r="S261" i="1"/>
  <c r="P259" i="1"/>
  <c r="N265" i="1"/>
  <c r="S266" i="1"/>
  <c r="M271" i="1"/>
  <c r="N275" i="1"/>
  <c r="M282" i="1"/>
  <c r="H285" i="1"/>
  <c r="K285" i="1" s="1"/>
  <c r="G263" i="1"/>
  <c r="W288" i="1"/>
  <c r="P286" i="1"/>
  <c r="W293" i="1"/>
  <c r="N300" i="1"/>
  <c r="C403" i="1"/>
  <c r="E403" i="1" s="1"/>
  <c r="E305" i="1"/>
  <c r="P358" i="1"/>
  <c r="O355" i="1"/>
  <c r="W362" i="1"/>
  <c r="O360" i="1"/>
  <c r="P363" i="1"/>
  <c r="E262" i="1"/>
  <c r="H262" i="1" s="1"/>
  <c r="K262" i="1" s="1"/>
  <c r="D259" i="1"/>
  <c r="E259" i="1" s="1"/>
  <c r="W298" i="1"/>
  <c r="F403" i="1"/>
  <c r="S307" i="1"/>
  <c r="P305" i="1"/>
  <c r="S310" i="1"/>
  <c r="J314" i="1"/>
  <c r="W320" i="1"/>
  <c r="Z320" i="1" s="1"/>
  <c r="AD320" i="1" s="1"/>
  <c r="E328" i="1"/>
  <c r="H328" i="1" s="1"/>
  <c r="D324" i="1"/>
  <c r="E324" i="1" s="1"/>
  <c r="L403" i="1"/>
  <c r="M371" i="1"/>
  <c r="M368" i="1" s="1"/>
  <c r="N371" i="1"/>
  <c r="S381" i="1"/>
  <c r="W383" i="1"/>
  <c r="E396" i="1"/>
  <c r="H396" i="1" s="1"/>
  <c r="K396" i="1" s="1"/>
  <c r="D393" i="1"/>
  <c r="E393" i="1" s="1"/>
  <c r="I403" i="1"/>
  <c r="Q403" i="1"/>
  <c r="O314" i="1"/>
  <c r="W327" i="1"/>
  <c r="Z327" i="1" s="1"/>
  <c r="AD327" i="1" s="1"/>
  <c r="P328" i="1"/>
  <c r="S328" i="1" s="1"/>
  <c r="W328" i="1" s="1"/>
  <c r="Z328" i="1" s="1"/>
  <c r="AD328" i="1" s="1"/>
  <c r="O324" i="1"/>
  <c r="Z352" i="1"/>
  <c r="AD352" i="1" s="1"/>
  <c r="K376" i="1"/>
  <c r="W391" i="1"/>
  <c r="N384" i="1"/>
  <c r="M384" i="1"/>
  <c r="N392" i="1"/>
  <c r="M392" i="1"/>
  <c r="N401" i="1"/>
  <c r="M401" i="1"/>
  <c r="S370" i="1"/>
  <c r="P368" i="1"/>
  <c r="W376" i="1"/>
  <c r="E381" i="1"/>
  <c r="P381" i="1"/>
  <c r="S392" i="1"/>
  <c r="W392" i="1" s="1"/>
  <c r="Z392" i="1" s="1"/>
  <c r="AD392" i="1" s="1"/>
  <c r="R389" i="1"/>
  <c r="N407" i="1"/>
  <c r="M407" i="1"/>
  <c r="K395" i="1"/>
  <c r="M395" i="1" s="1"/>
  <c r="S414" i="1"/>
  <c r="W414" i="1" s="1"/>
  <c r="Z414" i="1" s="1"/>
  <c r="AD414" i="1" s="1"/>
  <c r="W407" i="1"/>
  <c r="Z407" i="1" s="1"/>
  <c r="AD407" i="1" s="1"/>
  <c r="H414" i="1"/>
  <c r="K414" i="1" s="1"/>
  <c r="N414" i="1" s="1"/>
  <c r="K418" i="1"/>
  <c r="K391" i="1"/>
  <c r="M391" i="1" s="1"/>
  <c r="S395" i="1"/>
  <c r="P393" i="1"/>
  <c r="S397" i="1"/>
  <c r="W399" i="1"/>
  <c r="P414" i="1"/>
  <c r="P389" i="1"/>
  <c r="M414" i="1" l="1"/>
  <c r="M239" i="1"/>
  <c r="N258" i="1"/>
  <c r="N211" i="1"/>
  <c r="M377" i="1"/>
  <c r="H209" i="1"/>
  <c r="K209" i="1" s="1"/>
  <c r="N209" i="1" s="1"/>
  <c r="Q404" i="1"/>
  <c r="Q415" i="1" s="1"/>
  <c r="N321" i="1"/>
  <c r="M312" i="1"/>
  <c r="M308" i="1" s="1"/>
  <c r="H374" i="1"/>
  <c r="K374" i="1" s="1"/>
  <c r="N374" i="1" s="1"/>
  <c r="M317" i="1"/>
  <c r="M295" i="1"/>
  <c r="S59" i="1"/>
  <c r="M316" i="1"/>
  <c r="H381" i="1"/>
  <c r="K381" i="1" s="1"/>
  <c r="N381" i="1" s="1"/>
  <c r="H314" i="1"/>
  <c r="K314" i="1" s="1"/>
  <c r="N314" i="1" s="1"/>
  <c r="H360" i="1"/>
  <c r="K360" i="1" s="1"/>
  <c r="N360" i="1" s="1"/>
  <c r="M386" i="1"/>
  <c r="M385" i="1"/>
  <c r="N363" i="1"/>
  <c r="G403" i="1"/>
  <c r="P19" i="1"/>
  <c r="J403" i="1"/>
  <c r="P209" i="1"/>
  <c r="M320" i="1"/>
  <c r="T404" i="1"/>
  <c r="T415" i="1" s="1"/>
  <c r="N319" i="1"/>
  <c r="P186" i="1"/>
  <c r="S202" i="1"/>
  <c r="W202" i="1" s="1"/>
  <c r="K12" i="1"/>
  <c r="M12" i="1" s="1"/>
  <c r="M19" i="1" s="1"/>
  <c r="N185" i="1"/>
  <c r="Y302" i="1"/>
  <c r="Y404" i="1" s="1"/>
  <c r="Y415" i="1" s="1"/>
  <c r="H59" i="1"/>
  <c r="K59" i="1" s="1"/>
  <c r="N59" i="1" s="1"/>
  <c r="S291" i="1"/>
  <c r="V403" i="1"/>
  <c r="S286" i="1"/>
  <c r="U404" i="1"/>
  <c r="U415" i="1" s="1"/>
  <c r="N298" i="1"/>
  <c r="S374" i="1"/>
  <c r="T418" i="1"/>
  <c r="W418" i="1" s="1"/>
  <c r="H397" i="1"/>
  <c r="K397" i="1" s="1"/>
  <c r="N397" i="1" s="1"/>
  <c r="M44" i="1"/>
  <c r="N58" i="1"/>
  <c r="N318" i="1"/>
  <c r="M286" i="1"/>
  <c r="H393" i="1"/>
  <c r="K393" i="1" s="1"/>
  <c r="N393" i="1" s="1"/>
  <c r="S334" i="1"/>
  <c r="O403" i="1"/>
  <c r="H296" i="1"/>
  <c r="K296" i="1" s="1"/>
  <c r="N296" i="1" s="1"/>
  <c r="O302" i="1"/>
  <c r="AB417" i="1"/>
  <c r="J302" i="1"/>
  <c r="W209" i="1"/>
  <c r="Z209" i="1" s="1"/>
  <c r="AD209" i="1" s="1"/>
  <c r="M62" i="1"/>
  <c r="N49" i="1"/>
  <c r="R302" i="1"/>
  <c r="S209" i="1"/>
  <c r="S186" i="1"/>
  <c r="M77" i="1"/>
  <c r="N68" i="1"/>
  <c r="N55" i="1"/>
  <c r="N48" i="1"/>
  <c r="Z62" i="1"/>
  <c r="AD62" i="1" s="1"/>
  <c r="W59" i="1"/>
  <c r="Z59" i="1" s="1"/>
  <c r="AD59" i="1" s="1"/>
  <c r="R403" i="1"/>
  <c r="G302" i="1"/>
  <c r="V302" i="1"/>
  <c r="X302" i="1"/>
  <c r="X404" i="1" s="1"/>
  <c r="X415" i="1" s="1"/>
  <c r="H51" i="1"/>
  <c r="K51" i="1" s="1"/>
  <c r="N51" i="1" s="1"/>
  <c r="M301" i="1"/>
  <c r="N301" i="1"/>
  <c r="K188" i="1"/>
  <c r="H186" i="1"/>
  <c r="K186" i="1" s="1"/>
  <c r="N186" i="1" s="1"/>
  <c r="E20" i="1"/>
  <c r="H199" i="1"/>
  <c r="K199" i="1" s="1"/>
  <c r="N199" i="1" s="1"/>
  <c r="M8" i="1"/>
  <c r="M389" i="1"/>
  <c r="I404" i="1"/>
  <c r="I415" i="1" s="1"/>
  <c r="P308" i="1"/>
  <c r="N208" i="1"/>
  <c r="H9" i="1"/>
  <c r="K9" i="1" s="1"/>
  <c r="N190" i="1"/>
  <c r="M190" i="1"/>
  <c r="W330" i="1"/>
  <c r="Z330" i="1" s="1"/>
  <c r="AD330" i="1" s="1"/>
  <c r="Z332" i="1"/>
  <c r="AD332" i="1" s="1"/>
  <c r="Z376" i="1"/>
  <c r="AD376" i="1" s="1"/>
  <c r="W374" i="1"/>
  <c r="Z374" i="1" s="1"/>
  <c r="AD374" i="1" s="1"/>
  <c r="S389" i="1"/>
  <c r="W310" i="1"/>
  <c r="S308" i="1"/>
  <c r="Z298" i="1"/>
  <c r="AD298" i="1" s="1"/>
  <c r="W296" i="1"/>
  <c r="Z296" i="1" s="1"/>
  <c r="AD296" i="1" s="1"/>
  <c r="S363" i="1"/>
  <c r="P360" i="1"/>
  <c r="W395" i="1"/>
  <c r="S393" i="1"/>
  <c r="W370" i="1"/>
  <c r="S368" i="1"/>
  <c r="N400" i="1"/>
  <c r="M400" i="1"/>
  <c r="M397" i="1" s="1"/>
  <c r="S324" i="1"/>
  <c r="S358" i="1"/>
  <c r="P355" i="1"/>
  <c r="W286" i="1"/>
  <c r="Z286" i="1" s="1"/>
  <c r="AD286" i="1" s="1"/>
  <c r="Z288" i="1"/>
  <c r="AD288" i="1" s="1"/>
  <c r="K305" i="1"/>
  <c r="N305" i="1" s="1"/>
  <c r="W334" i="1"/>
  <c r="Z334" i="1" s="1"/>
  <c r="AD334" i="1" s="1"/>
  <c r="H263" i="1"/>
  <c r="K263" i="1" s="1"/>
  <c r="N263" i="1" s="1"/>
  <c r="K358" i="1"/>
  <c r="H355" i="1"/>
  <c r="K355" i="1" s="1"/>
  <c r="N355" i="1" s="1"/>
  <c r="D302" i="1"/>
  <c r="S53" i="1"/>
  <c r="P51" i="1"/>
  <c r="M209" i="1"/>
  <c r="N73" i="1"/>
  <c r="M73" i="1"/>
  <c r="F404" i="1"/>
  <c r="F415" i="1" s="1"/>
  <c r="H70" i="1"/>
  <c r="K70" i="1" s="1"/>
  <c r="N70" i="1" s="1"/>
  <c r="K47" i="1"/>
  <c r="H45" i="1"/>
  <c r="P9" i="1"/>
  <c r="M5" i="1"/>
  <c r="N5" i="1"/>
  <c r="W397" i="1"/>
  <c r="Z397" i="1" s="1"/>
  <c r="AD397" i="1" s="1"/>
  <c r="Z399" i="1"/>
  <c r="AD399" i="1" s="1"/>
  <c r="N376" i="1"/>
  <c r="M376" i="1"/>
  <c r="W381" i="1"/>
  <c r="Z381" i="1" s="1"/>
  <c r="AD381" i="1" s="1"/>
  <c r="Z383" i="1"/>
  <c r="AD383" i="1" s="1"/>
  <c r="W307" i="1"/>
  <c r="S305" i="1"/>
  <c r="Z362" i="1"/>
  <c r="AD362" i="1" s="1"/>
  <c r="Z357" i="1"/>
  <c r="AD357" i="1" s="1"/>
  <c r="H259" i="1"/>
  <c r="K259" i="1" s="1"/>
  <c r="N259" i="1" s="1"/>
  <c r="K337" i="1"/>
  <c r="H334" i="1"/>
  <c r="K334" i="1" s="1"/>
  <c r="N334" i="1" s="1"/>
  <c r="C404" i="1"/>
  <c r="W9" i="1"/>
  <c r="Z5" i="1"/>
  <c r="AD5" i="1" s="1"/>
  <c r="W389" i="1"/>
  <c r="Z389" i="1" s="1"/>
  <c r="AD389" i="1" s="1"/>
  <c r="Z391" i="1"/>
  <c r="AD391" i="1" s="1"/>
  <c r="N396" i="1"/>
  <c r="M396" i="1"/>
  <c r="M393" i="1" s="1"/>
  <c r="K328" i="1"/>
  <c r="H324" i="1"/>
  <c r="K324" i="1" s="1"/>
  <c r="N324" i="1" s="1"/>
  <c r="M262" i="1"/>
  <c r="M259" i="1" s="1"/>
  <c r="N262" i="1"/>
  <c r="W291" i="1"/>
  <c r="Z291" i="1" s="1"/>
  <c r="AD291" i="1" s="1"/>
  <c r="Z293" i="1"/>
  <c r="AD293" i="1" s="1"/>
  <c r="N285" i="1"/>
  <c r="M285" i="1"/>
  <c r="M263" i="1" s="1"/>
  <c r="W266" i="1"/>
  <c r="S263" i="1"/>
  <c r="S259" i="1"/>
  <c r="W261" i="1"/>
  <c r="K293" i="1"/>
  <c r="H291" i="1"/>
  <c r="K291" i="1" s="1"/>
  <c r="N291" i="1" s="1"/>
  <c r="L404" i="1"/>
  <c r="L415" i="1" s="1"/>
  <c r="N61" i="1"/>
  <c r="M61" i="1"/>
  <c r="S19" i="1"/>
  <c r="W12" i="1"/>
  <c r="W23" i="1"/>
  <c r="M53" i="1"/>
  <c r="M51" i="1" s="1"/>
  <c r="N53" i="1"/>
  <c r="Z67" i="1"/>
  <c r="AD67" i="1" s="1"/>
  <c r="W65" i="1"/>
  <c r="Z65" i="1" s="1"/>
  <c r="AD65" i="1" s="1"/>
  <c r="S9" i="1"/>
  <c r="M65" i="1"/>
  <c r="P324" i="1"/>
  <c r="M360" i="1"/>
  <c r="W324" i="1"/>
  <c r="Z324" i="1" s="1"/>
  <c r="AD324" i="1" s="1"/>
  <c r="M294" i="1"/>
  <c r="N294" i="1"/>
  <c r="W316" i="1"/>
  <c r="S314" i="1"/>
  <c r="D403" i="1"/>
  <c r="W186" i="1"/>
  <c r="Z186" i="1" s="1"/>
  <c r="AD186" i="1" s="1"/>
  <c r="Z188" i="1"/>
  <c r="AD188" i="1" s="1"/>
  <c r="W72" i="1"/>
  <c r="S70" i="1"/>
  <c r="M201" i="1"/>
  <c r="M199" i="1" s="1"/>
  <c r="N201" i="1"/>
  <c r="M299" i="1"/>
  <c r="N299" i="1"/>
  <c r="S47" i="1"/>
  <c r="P45" i="1"/>
  <c r="M64" i="1"/>
  <c r="N64" i="1"/>
  <c r="M6" i="1"/>
  <c r="N6" i="1"/>
  <c r="S23" i="1"/>
  <c r="M374" i="1" l="1"/>
  <c r="M381" i="1"/>
  <c r="H20" i="1"/>
  <c r="K20" i="1" s="1"/>
  <c r="N20" i="1" s="1"/>
  <c r="G404" i="1"/>
  <c r="G415" i="1" s="1"/>
  <c r="P20" i="1"/>
  <c r="N12" i="1"/>
  <c r="S199" i="1"/>
  <c r="M314" i="1"/>
  <c r="R404" i="1"/>
  <c r="R415" i="1" s="1"/>
  <c r="J404" i="1"/>
  <c r="J415" i="1" s="1"/>
  <c r="O404" i="1"/>
  <c r="O415" i="1" s="1"/>
  <c r="V404" i="1"/>
  <c r="V415" i="1" s="1"/>
  <c r="M296" i="1"/>
  <c r="M70" i="1"/>
  <c r="N188" i="1"/>
  <c r="M188" i="1"/>
  <c r="M186" i="1" s="1"/>
  <c r="P403" i="1"/>
  <c r="P302" i="1"/>
  <c r="M59" i="1"/>
  <c r="W314" i="1"/>
  <c r="Z314" i="1" s="1"/>
  <c r="AD314" i="1" s="1"/>
  <c r="Z316" i="1"/>
  <c r="AD316" i="1" s="1"/>
  <c r="N337" i="1"/>
  <c r="M337" i="1"/>
  <c r="M334" i="1" s="1"/>
  <c r="W305" i="1"/>
  <c r="Z307" i="1"/>
  <c r="AD307" i="1" s="1"/>
  <c r="M358" i="1"/>
  <c r="M355" i="1" s="1"/>
  <c r="N358" i="1"/>
  <c r="Z370" i="1"/>
  <c r="AD370" i="1" s="1"/>
  <c r="W368" i="1"/>
  <c r="Z368" i="1" s="1"/>
  <c r="AD368" i="1" s="1"/>
  <c r="W308" i="1"/>
  <c r="Z310" i="1"/>
  <c r="AD310" i="1" s="1"/>
  <c r="Z72" i="1"/>
  <c r="AD72" i="1" s="1"/>
  <c r="W70" i="1"/>
  <c r="Z70" i="1" s="1"/>
  <c r="AD70" i="1" s="1"/>
  <c r="W19" i="1"/>
  <c r="Z19" i="1" s="1"/>
  <c r="AD19" i="1" s="1"/>
  <c r="Z12" i="1"/>
  <c r="AD12" i="1" s="1"/>
  <c r="Z9" i="1"/>
  <c r="AD9" i="1" s="1"/>
  <c r="S51" i="1"/>
  <c r="W53" i="1"/>
  <c r="H403" i="1"/>
  <c r="K403" i="1" s="1"/>
  <c r="N403" i="1" s="1"/>
  <c r="W47" i="1"/>
  <c r="S45" i="1"/>
  <c r="M293" i="1"/>
  <c r="M291" i="1" s="1"/>
  <c r="N293" i="1"/>
  <c r="Z266" i="1"/>
  <c r="AD266" i="1" s="1"/>
  <c r="W263" i="1"/>
  <c r="Z263" i="1" s="1"/>
  <c r="AD263" i="1" s="1"/>
  <c r="N328" i="1"/>
  <c r="M328" i="1"/>
  <c r="M324" i="1" s="1"/>
  <c r="C415" i="1"/>
  <c r="E415" i="1" s="1"/>
  <c r="E404" i="1"/>
  <c r="K45" i="1"/>
  <c r="N45" i="1" s="1"/>
  <c r="H302" i="1"/>
  <c r="D404" i="1"/>
  <c r="D415" i="1" s="1"/>
  <c r="W358" i="1"/>
  <c r="S355" i="1"/>
  <c r="Z395" i="1"/>
  <c r="AD395" i="1" s="1"/>
  <c r="W393" i="1"/>
  <c r="Z393" i="1" s="1"/>
  <c r="AD393" i="1" s="1"/>
  <c r="S20" i="1"/>
  <c r="W259" i="1"/>
  <c r="Z259" i="1" s="1"/>
  <c r="AD259" i="1" s="1"/>
  <c r="Z261" i="1"/>
  <c r="AD261" i="1" s="1"/>
  <c r="N47" i="1"/>
  <c r="M47" i="1"/>
  <c r="M45" i="1" s="1"/>
  <c r="Z202" i="1"/>
  <c r="AD202" i="1" s="1"/>
  <c r="W199" i="1"/>
  <c r="Z199" i="1" s="1"/>
  <c r="AD199" i="1" s="1"/>
  <c r="Z23" i="1"/>
  <c r="AD23" i="1" s="1"/>
  <c r="M9" i="1"/>
  <c r="W363" i="1"/>
  <c r="S360" i="1"/>
  <c r="S302" i="1" l="1"/>
  <c r="P404" i="1"/>
  <c r="P415" i="1" s="1"/>
  <c r="Z308" i="1"/>
  <c r="AD308" i="1" s="1"/>
  <c r="M302" i="1"/>
  <c r="S403" i="1"/>
  <c r="S404" i="1" s="1"/>
  <c r="S415" i="1" s="1"/>
  <c r="W20" i="1"/>
  <c r="Z20" i="1" s="1"/>
  <c r="AD20" i="1" s="1"/>
  <c r="Z305" i="1"/>
  <c r="AD305" i="1" s="1"/>
  <c r="Z358" i="1"/>
  <c r="AD358" i="1" s="1"/>
  <c r="W355" i="1"/>
  <c r="Z355" i="1" s="1"/>
  <c r="AD355" i="1" s="1"/>
  <c r="W51" i="1"/>
  <c r="Z51" i="1" s="1"/>
  <c r="AD51" i="1" s="1"/>
  <c r="Z53" i="1"/>
  <c r="AD53" i="1" s="1"/>
  <c r="W45" i="1"/>
  <c r="Z47" i="1"/>
  <c r="AD47" i="1" s="1"/>
  <c r="Z363" i="1"/>
  <c r="AD363" i="1" s="1"/>
  <c r="W360" i="1"/>
  <c r="Z360" i="1" s="1"/>
  <c r="AD360" i="1" s="1"/>
  <c r="M20" i="1"/>
  <c r="N9" i="1"/>
  <c r="H404" i="1"/>
  <c r="K302" i="1"/>
  <c r="N302" i="1" s="1"/>
  <c r="M403" i="1"/>
  <c r="Z403" i="1" l="1"/>
  <c r="AD403" i="1" s="1"/>
  <c r="M404" i="1"/>
  <c r="M415" i="1" s="1"/>
  <c r="Z45" i="1"/>
  <c r="AD45" i="1" s="1"/>
  <c r="W302" i="1"/>
  <c r="K404" i="1"/>
  <c r="N404" i="1" s="1"/>
  <c r="H415" i="1"/>
  <c r="K415" i="1" s="1"/>
  <c r="N415" i="1" s="1"/>
  <c r="W403" i="1"/>
  <c r="W404" i="1" l="1"/>
  <c r="Z302" i="1"/>
  <c r="AD302" i="1" s="1"/>
  <c r="Z404" i="1" l="1"/>
  <c r="AD404" i="1" s="1"/>
  <c r="W415" i="1"/>
  <c r="Z415" i="1" l="1"/>
  <c r="AD415" i="1" s="1"/>
</calcChain>
</file>

<file path=xl/sharedStrings.xml><?xml version="1.0" encoding="utf-8"?>
<sst xmlns="http://schemas.openxmlformats.org/spreadsheetml/2006/main" count="741" uniqueCount="449">
  <si>
    <t>Závazný ukazatel</t>
  </si>
  <si>
    <t>Časová pužitelnost                dotací a příspěvků                                     (od - do)</t>
  </si>
  <si>
    <t>Schválený rozpočet na rok 2022                                          (v tis. Kč)</t>
  </si>
  <si>
    <t>Rozpočtová opatření RM č. 1 - 22                                         (v tis. Kč)</t>
  </si>
  <si>
    <t>Rozpočet roku 2022                 po rozpočtových opatřeních RM                        č. 1 - 26                                         (v tis. Kč)</t>
  </si>
  <si>
    <t>1. změna rozpočtu                                    (v tis. Kč)</t>
  </si>
  <si>
    <t>Rozpočtová opatření RM č. 27 - 62                                    (v tis. Kč)</t>
  </si>
  <si>
    <t>Rozpočet roku 2022  po 1. změně                                  a po RO  RM                             č. 1 - 71                                    (v tis. Kč)</t>
  </si>
  <si>
    <t>2. změna                   rozpočtu                              (v tis. Kč)</t>
  </si>
  <si>
    <t>Rozpočtová opatření                   RM č. 72 - 117                              (v tis. Kč)</t>
  </si>
  <si>
    <t>Rozpočet roku 2022 po 2. změně                                  a po RO RM                                                                       č. 1 - 117                                (v tis. Kč)</t>
  </si>
  <si>
    <t>Schválený rozpočet                   na rok 2023                                          (v tis. Kč)</t>
  </si>
  <si>
    <t>Rozdíl sl. 5 - sl. 4                                      (v tis. Kč)</t>
  </si>
  <si>
    <t xml:space="preserve">Index sl. 5/sl. 4                             </t>
  </si>
  <si>
    <t>Rozpočtová opatření                     RM č. 1 -25                                          (v tis. Kč)</t>
  </si>
  <si>
    <t>Rozpočet roku 2023             po rozpočtových opatřeních RM                  č. 1 - 31                                       (v tis. Kč)</t>
  </si>
  <si>
    <t>1. změna rozpočtu                                         (v tis. Kč)</t>
  </si>
  <si>
    <t>Rozpočtová opatření RM                  č. 32 - 66                                       (v tis. Kč)</t>
  </si>
  <si>
    <t>Rozpočet roku 2023   po  1. změně                                               a po rozpočtových opatřeních RM             č. 1 - 74                                                      (v tis. Kč)</t>
  </si>
  <si>
    <t xml:space="preserve"> 2. změna rozpočtu                                         (v tis. Kč)</t>
  </si>
  <si>
    <t xml:space="preserve"> 3. změna rozpočtu                                         (v tis. Kč)</t>
  </si>
  <si>
    <t>Rozpočtová opatření RM                    č. 75 - 95                                           (v tis. Kč)</t>
  </si>
  <si>
    <t>Rozpočet roku 2023   po  3. změně                                               a po rozpočtových opatřeních RM             č. 1 - 112                                                      (v tis. Kč)</t>
  </si>
  <si>
    <t>4. změna rozpočtu (v tis. Kč)</t>
  </si>
  <si>
    <t>sl. 1</t>
  </si>
  <si>
    <t>sl. 2</t>
  </si>
  <si>
    <t>sl. 3</t>
  </si>
  <si>
    <t>sl. 4</t>
  </si>
  <si>
    <t>sl. 5</t>
  </si>
  <si>
    <t>sl. 6</t>
  </si>
  <si>
    <t>sl. 7</t>
  </si>
  <si>
    <t>6.</t>
  </si>
  <si>
    <t>7.</t>
  </si>
  <si>
    <t>4.</t>
  </si>
  <si>
    <t>5.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</si>
  <si>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</si>
  <si>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</si>
  <si>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</si>
  <si>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</si>
  <si>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</si>
  <si>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</si>
  <si>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</si>
  <si>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</si>
  <si>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</si>
  <si>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</si>
  <si>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</si>
  <si>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X</t>
  </si>
  <si>
    <t>8115 - Čerpání fondu pomoci občanům dotčeným živelními pohromami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</si>
  <si>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</si>
  <si>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</si>
  <si>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</si>
  <si>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</si>
  <si>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</si>
  <si>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</si>
  <si>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</si>
  <si>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Asociace malých debrujárů České republiky - mezinárodní akce EXPO SCIENCE INTERNATIONAL - ESI, Puebla, MEXICO</t>
  </si>
  <si>
    <t>1.1.2023 - 8.12.2023</t>
  </si>
  <si>
    <t>Babylonie, z. s. - zabezpečení mezinárodního setkání mládeže s názvem "Zpátky k sobě"</t>
  </si>
  <si>
    <t>1.1.2023 - 31.10.2023</t>
  </si>
  <si>
    <t>Český svaz chovatelů, z. s., Základní organizace Místek 1 - zabezpečení Výstavy holubů okrasných a strukturových plemen, drůbeže a králíků</t>
  </si>
  <si>
    <r>
      <t>MUDr. Ivana R</t>
    </r>
    <r>
      <rPr>
        <sz val="10"/>
        <color theme="1"/>
        <rFont val="Calibri"/>
        <family val="2"/>
        <charset val="238"/>
      </rPr>
      <t>öschlová - zabezpečení akce Beskydský pediatrický den 2023</t>
    </r>
  </si>
  <si>
    <t>1.1.2023 - 31.5.2023</t>
  </si>
  <si>
    <t>Nemocnice ve Frýdku-Místku, p. o. - zabezpečení konference Moderní ošetřovatelství v každodenní praxi</t>
  </si>
  <si>
    <t>Okresní sdružení České unie sportu Frýdek-Místek - zabezpečení akce "Vyhlášení nejúspěšnějších sportovců okresu Frýdek-Místek za rok 2022"</t>
  </si>
  <si>
    <t>1.1.2023 - 30.6.2023</t>
  </si>
  <si>
    <t>ProJantar s.r.o. - zabezpečení Galavečeru předávání Cen Jantar 2022</t>
  </si>
  <si>
    <t>SH ČMS - Sbor dobrovolných hasičů Místek-Bahno - vydání knihy o historii SDH Bahno ke 100letému výročí založení</t>
  </si>
  <si>
    <t>SH ČMS - Sbor dobrovolných hasičů Frýdek - akce Oslavy 150 let SDH Frýdek</t>
  </si>
  <si>
    <t>1.1.2023 - 20.12.2023</t>
  </si>
  <si>
    <t>SH ČMS - Sbor dobrovolných hasičů Lískovec - zabezpečení plesu SDH Lískovec</t>
  </si>
  <si>
    <t>1.1.2023 - 30.4.2023</t>
  </si>
  <si>
    <t>SH ČMS - Sbor dobrovolných hasičů Skalice - akce Skalický kopec</t>
  </si>
  <si>
    <t>Sjednocená organizace nevidomých a slabozrakých České republiky, zapsaný spolek - akce Festival Dny umění nevidomých na Moravě 2023</t>
  </si>
  <si>
    <t>1.1.2023 - 30.11.2023</t>
  </si>
  <si>
    <t>Taneční studio DANCEPOINT, z. s. - zabezpečení Závěrečné taneční show - 18. sezóna</t>
  </si>
  <si>
    <t>1.1.2023 - 31.8.2023</t>
  </si>
  <si>
    <t>Tenisový klub TENNISPOINT ve Frýdku-Místku - zabezpečení tenisových turnajů katergorie A - starší žáci: Pohár primátora města Frýdku-Místku 2023 a mladší žáci: Štít města Frýdku-Místku 2023</t>
  </si>
  <si>
    <t>Beskydská volejbalová liga amatérů, z.s. - zabezpečení 14. ročníku "Regionální beskydské volejbalové ligy"</t>
  </si>
  <si>
    <t>TJ Sokol Frýdek-Místek - výdaje na účast taneční skupiny Funky Beat na Mistrovství Evropy v Chorvatsku HIP HOP UNITE 2023 EUROPEAN CHAMPS, EUROPEAN CHAMPIONSHIPS 2023</t>
  </si>
  <si>
    <t>Včelín s.r.o. - zabezpečení akce "Frýdek-Místek žije vínem 2023"</t>
  </si>
  <si>
    <t>1.1.2023 - 7.12.2023</t>
  </si>
  <si>
    <t>ZO ČSOP Nový Jičín 70/02 - záchrana volně žijících živočichů</t>
  </si>
  <si>
    <t>Tatra Veteran Sport Club Ostrava v AČR - zabezpečení akce "Veteran Rally Ostrava 2023"</t>
  </si>
  <si>
    <t>1.1.2023 - 31.7.2023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</si>
  <si>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</si>
  <si>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</si>
  <si>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Neinvestiční výdaje odboru vnitřních věcí z transferů</t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</si>
  <si>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</si>
  <si>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</si>
  <si>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</si>
  <si>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</si>
  <si>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</si>
  <si>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1.1.2023 - 13.12.2023</t>
  </si>
  <si>
    <t>Sportplex Frýdek-Místek, s. r. o. - neinvestiční dotace</t>
  </si>
  <si>
    <t>1.1.2023 - 31.12.2023</t>
  </si>
  <si>
    <t>Plánovaná rezerva města</t>
  </si>
  <si>
    <t>Rezerva na odvody a sankce</t>
  </si>
  <si>
    <t>Rezerva na dotaci - Nemocnice ve Frýdku-Místku, p. o. - provoz zubní pohotovosti</t>
  </si>
  <si>
    <t>Ostatní neinvestiční výdaje finančního odboru</t>
  </si>
  <si>
    <t>ORJ 04-Odbor správy obecního majetku</t>
  </si>
  <si>
    <t>Neinvestiční výdaje odboru správy obecního majetku z transferů</t>
  </si>
  <si>
    <t>Neinvestiční výdaje hrazené z Fondu pomoci občanům dotčeným výstavbou komunikace R/48 - viz doplňující příloha č. 16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</si>
  <si>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</si>
  <si>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</si>
  <si>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</si>
  <si>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</si>
  <si>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</si>
  <si>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Neinvestiční výdaje odboru ŠKMaT z transferů</t>
  </si>
  <si>
    <t>DP Podpora a rozvoj kulturních aktivit ve městě - viz doplňující příloha č. 1</t>
  </si>
  <si>
    <t>viz dopl. příloha č. 1</t>
  </si>
  <si>
    <t>DP Podpora a rozvoj sportu ve městě - viz doplňující příloha č. 2</t>
  </si>
  <si>
    <t>viz dopl. příloha č. 2</t>
  </si>
  <si>
    <t>DP Podpora výchovy, vzdělávání a zájmových aktivit - viz doplňující příloha č. 4</t>
  </si>
  <si>
    <t>viz dopl. příloha č. 4</t>
  </si>
  <si>
    <t>Mládežnický sport - viz doplňující příloha č. 3</t>
  </si>
  <si>
    <t>viz dopl. příloha č. 3</t>
  </si>
  <si>
    <t>MŠ Beruška - na provoz</t>
  </si>
  <si>
    <t>MŠ Beruška - ÚZ 913</t>
  </si>
  <si>
    <t>MŠ Pohádka - na provoz</t>
  </si>
  <si>
    <t>ZŠ a MŠ Naděje, F-M, Škarabelova 562 - na provoz MŠ K Hájku</t>
  </si>
  <si>
    <t xml:space="preserve">MŠ Sluníčko - na provoz  </t>
  </si>
  <si>
    <t>MŠ Sluníčko - ÚZ 913</t>
  </si>
  <si>
    <t>MŠ Mateřídouška - na provoz</t>
  </si>
  <si>
    <t>MŠ Mateřídouška - ÚZ 913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</si>
  <si>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</si>
  <si>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</si>
  <si>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</si>
  <si>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</si>
  <si>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>ZŠ a MŠ F-M, Lískovec - ÚZ 33092</t>
  </si>
  <si>
    <t>1.2.2023 - 31.12.2025</t>
  </si>
  <si>
    <t xml:space="preserve">MŠ Radost - na provoz </t>
  </si>
  <si>
    <t>MŠ Radost - ÚZ 913</t>
  </si>
  <si>
    <t>MŠ Barevný svět - na provoz</t>
  </si>
  <si>
    <t>MŠ Barevný svět - ÚZ 33092</t>
  </si>
  <si>
    <t>1.10.2022 - 30.9.2024</t>
  </si>
  <si>
    <t>ZŠ F-M, národního umělce P. Bezruče, tř. TGM 454 - na provoz</t>
  </si>
  <si>
    <t>ZŠ F-M, národního umělce P. Bezruče, tř. TGM 454 - ÚZ 33092</t>
  </si>
  <si>
    <t>1.4.2023 - 31.12.2025</t>
  </si>
  <si>
    <t xml:space="preserve">ZŠ F-M, J. Čapka 2555 - na provoz </t>
  </si>
  <si>
    <t>ZŠ F-M, J. Čapka 2555 - ÚZ 333</t>
  </si>
  <si>
    <t>1.9.2023 - 31.7.2024</t>
  </si>
  <si>
    <t xml:space="preserve">ZŠ a MŠ Naděje, F-M, Škarabelova 562 - na provoz ZŠ </t>
  </si>
  <si>
    <t>ZŠ a MŠ Naděje, F-M, Škarabelova 562 - ÚZ 33092</t>
  </si>
  <si>
    <t>1.7.2023 - 31.12.2025</t>
  </si>
  <si>
    <t>ZŠ F-M, Komenského 402 - na provoz</t>
  </si>
  <si>
    <t xml:space="preserve">ZŠ F-M, El. Krásnohorské 2254 - na provoz </t>
  </si>
  <si>
    <t>ZŠ F-M, Pionýrů 400 - na provoz</t>
  </si>
  <si>
    <t>ZŠ F-M, Pionýrů 400 - ÚZ 33092</t>
  </si>
  <si>
    <t>1.1.2023 - 31.12.2024</t>
  </si>
  <si>
    <t>ZŠ F-M, 1. máje 1700 - na provoz</t>
  </si>
  <si>
    <t>ZŠ F-M, 1. máje 1700 - ÚZ 33092</t>
  </si>
  <si>
    <t>ZŠ F-M, Československé armády 570 - na provoz</t>
  </si>
  <si>
    <t>ZŠ a MŠ F-M, Lískovec - na provoz ZŠ Lískovec</t>
  </si>
  <si>
    <t>ZŠ a MŠ F-M, Lískovec - ÚZ 333</t>
  </si>
  <si>
    <t>1.9.2023 - 30.6.2024</t>
  </si>
  <si>
    <t>ZŠ a MŠ F-M, Chlebovice - na provoz ZŠ Chlebovice</t>
  </si>
  <si>
    <t>ZŠ F-M, J. z Poděbrad 3109 - na provoz</t>
  </si>
  <si>
    <t>ZŠ F-M, J. z Poděbrad 3109 - ÚZ 913</t>
  </si>
  <si>
    <t>ZŠ F-M, J. z Poděbrad 3109 - ÚZ 33092</t>
  </si>
  <si>
    <t>1.9.2023 - 31.8.2025</t>
  </si>
  <si>
    <t>ZŠ a MŠ F-M, Skalice - na provoz ZŠ Skalice</t>
  </si>
  <si>
    <t>ZŠ a MŠ F-M, Skalice - ÚZ 33092</t>
  </si>
  <si>
    <t>Středisko volného času Klíč - na provoz</t>
  </si>
  <si>
    <t>Středisko volného času Klíč - odborné, kariérové a polytechnické vzdělávání - ÚZ 912</t>
  </si>
  <si>
    <t>Středisko volného času Klíč - odborné, kariérové a polytechnické vzdělávání - ÚZ 253</t>
  </si>
  <si>
    <t>ZUŠ Frýdek-Místek - na provoz</t>
  </si>
  <si>
    <t>ZUŠ Frýdek-Místek - ÚZ 33092</t>
  </si>
  <si>
    <t>1.1.2023 - 30.9.2024</t>
  </si>
  <si>
    <t>Městská knihovna Frýdek-Místek - na provoz</t>
  </si>
  <si>
    <t>Městská knihovna Frýdek-Místek - ÚZ 00345</t>
  </si>
  <si>
    <t>Národní dům Frýdek-Místek - na provoz</t>
  </si>
  <si>
    <t>Projekt "Příspěvek na obědy v ZŠ ve FM" - příspěvek s vyúčtováním z toho: - rezerva na obědy žáků s trvalým pobytem na území statutárního města Frýdek-Místek</t>
  </si>
  <si>
    <t>1.11.2023 - 31.12.2023</t>
  </si>
  <si>
    <t>ZŠ nár. um. P. Bezruče, T. G. 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</si>
  <si>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</si>
  <si>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</si>
  <si>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</si>
  <si>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</si>
  <si>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</si>
  <si>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</si>
  <si>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</si>
  <si>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</si>
  <si>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</si>
  <si>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</si>
  <si>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</si>
  <si>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</si>
  <si>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JO Tenisové tréninkové centrum z.s. - ITF 25 000 $ tenisový turnaj žen</t>
  </si>
  <si>
    <t>Paměť národa - POST BELLUM, z.ú.</t>
  </si>
  <si>
    <t>1.1.2023 - 30.9.2023</t>
  </si>
  <si>
    <t>Love production s.r.o. - akce Sweetsen fest</t>
  </si>
  <si>
    <t>1.1.2023 - 29.9.2023</t>
  </si>
  <si>
    <t>Evolution Brothers s.r.o. - akce FM CITY FEST</t>
  </si>
  <si>
    <t>Dětský folklorní soubor Ostravička z.s. - akce Mezinárodní folklorní festival</t>
  </si>
  <si>
    <t>Farní sbor českobratrské církve evangelické ve F-M - oprava fasády kostela</t>
  </si>
  <si>
    <t>1.4.2023 - 12.12.2023</t>
  </si>
  <si>
    <t>Nemocnice ve F-M, p.o. - na náklady spojené s proškolením žáků na KPR</t>
  </si>
  <si>
    <t>Středisko volného času Klíč - ÚZ 00833</t>
  </si>
  <si>
    <t>Středisko volného času Klíč - ÚZ 910</t>
  </si>
  <si>
    <t>Židovská obec v Ostravě - na opravy židovského hřbitova</t>
  </si>
  <si>
    <t>1.1.2023 - 12.12.2023</t>
  </si>
  <si>
    <t>30.6.2023 - 12.12.2023</t>
  </si>
  <si>
    <t>MAS Pobeskydí, z.s. - seminář pro ředitele ZŠ a MŠ, festival inspirace v přírodních vědách</t>
  </si>
  <si>
    <t>FbC Frýdek-Místek, z.s. - Prague Games 2023"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</si>
  <si>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</si>
  <si>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</si>
  <si>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</si>
  <si>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</si>
  <si>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</si>
  <si>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TJ Sokol Frýdek-Místek - výdaje na účast taneční skupiny Funky Beat na MS v Portugalsku "HIP HOP UNITE 2023 WORLD CHAMPS"</t>
  </si>
  <si>
    <t>BŠŠ z.s. - na náklady družstva dospělých šachistů a šachistek</t>
  </si>
  <si>
    <t>BŠŠ z. s. - Turnaj šachových nadějí</t>
  </si>
  <si>
    <t>BŠŠ z. s. - MS, ME, MEU jednotlivců v šachu</t>
  </si>
  <si>
    <t>TJ Slezan F-M, z.s. - Hornická 10</t>
  </si>
  <si>
    <t>TJ Slezan F-M, z.s  - Májové závody</t>
  </si>
  <si>
    <t>BK Klasik z.s. - nájem baseballového hřiště</t>
  </si>
  <si>
    <t>SK K2, z. s. - akce F-M sport FEST</t>
  </si>
  <si>
    <t xml:space="preserve">Green Volley Frýdek-Místek, z.s. - na náklady družstva dospělých volejbalistů </t>
  </si>
  <si>
    <t>HC Frýdek-Místek 2015 s. r. o. - náklady družstva dospělých hokejistů</t>
  </si>
  <si>
    <t>AIKIDO AIKIKAI F-M z.s. - akce "Sportovní víkend dětí Aikido Aikikai"</t>
  </si>
  <si>
    <t>1.1.2023 - 15.11.2023</t>
  </si>
  <si>
    <t>Obnova památky - socha sv. Floriána - ÚZ 34002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</si>
  <si>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</si>
  <si>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</si>
  <si>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</si>
  <si>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</si>
  <si>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</si>
  <si>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</si>
  <si>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</si>
  <si>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</si>
  <si>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</si>
  <si>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Obec Dobrá - neinvestiční transfer na opravu mostu přes řeku Morávku z Dobré do Skalice</t>
  </si>
  <si>
    <t>1.1.2020 - 15.10.2022</t>
  </si>
  <si>
    <t>Ostatní neinvestiční výdaje odboru dopravy a silničního hospodářství</t>
  </si>
  <si>
    <t>ORJ 09-Odbor životního prostředí a zemědělství</t>
  </si>
  <si>
    <t>Neinvestiční výdaje odboru životního prostředí a zemědělství z transferů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</si>
  <si>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</si>
  <si>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</si>
  <si>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>Program Podpora výsadby dřevin - viz doplňující příloha č. 13</t>
  </si>
  <si>
    <t>viz dopl. příloha č. 13</t>
  </si>
  <si>
    <t xml:space="preserve">Sdružení vlastníků obecních a soukromých lesů v ČR </t>
  </si>
  <si>
    <t>Spolek pro Faunapark - neinvestiční příspěvek</t>
  </si>
  <si>
    <t>1.1.2023 - 15.12.2023</t>
  </si>
  <si>
    <t xml:space="preserve">Neposedné tlapky, z. s. </t>
  </si>
  <si>
    <t>Ostatní neinvestiční výdaje odboru životního prostředí a zemědělství</t>
  </si>
  <si>
    <t>ORJ 11-Odbor sociálních služeb</t>
  </si>
  <si>
    <t>Neinvestiční výdaje odboru sociálních služeb z transferů</t>
  </si>
  <si>
    <t>DP Podpora a rozvoj sociálních služeb ve městě - viz doplňující příloha č. 9</t>
  </si>
  <si>
    <t>viz dopl. příloha č. 9</t>
  </si>
  <si>
    <t>DP Podpora projektů v oblasti zdravotnictví - viz doplňující příloha č. 10</t>
  </si>
  <si>
    <t>viz dopl. příloha č. 10</t>
  </si>
  <si>
    <t>DP Podpora a rozvoj ostatních aktivit navazujících na sociální služby - viz doplňující příloha č. 11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</si>
  <si>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</si>
  <si>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06964/2020/SOC)</t>
    </r>
  </si>
  <si>
    <t>Hospic Frýdek-Místek, p. o. - ÚZ 00914</t>
  </si>
  <si>
    <t>Hospic Frýdek-Místek, p. o. - ÚZ 00354</t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</si>
  <si>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</si>
  <si>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06580/2020/SOC)</t>
    </r>
  </si>
  <si>
    <t>Domov pro seniory Frýdek-Místek, p. o. - ÚZ 00914</t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</si>
  <si>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06450/2020/SOC)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</si>
  <si>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06981/2020/SOC) </t>
    </r>
  </si>
  <si>
    <t>Penzion pro seniory Frýdek-Místek, p. o. - ÚZ 00914</t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</si>
  <si>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07590/2020/SOC)</t>
    </r>
  </si>
  <si>
    <t>ŽIRAFA - Integrované centrum Frýdek-Místek, p. o. - ÚZ 00914</t>
  </si>
  <si>
    <t>Armáda spásy v ČR, z. s. - prevence bezdomovectví</t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</si>
  <si>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</si>
  <si>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</si>
  <si>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</si>
  <si>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</si>
  <si>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</si>
  <si>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</si>
  <si>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</si>
  <si>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</si>
  <si>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</si>
  <si>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</si>
  <si>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Centrum pro dětský sluch Tamtam, o. p. s. - Ranná péče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</si>
  <si>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</si>
  <si>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</si>
  <si>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</si>
  <si>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</si>
  <si>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</si>
  <si>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Nadační fond Pavla Novotného - Den urologické prevence</t>
  </si>
  <si>
    <t>Senioři ČR, z. s. - aktivní senioři F-M</t>
  </si>
  <si>
    <t>Senioři ČR, z.s., MO F-M - CAS - úhrada energií za r. 2022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</si>
  <si>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</si>
  <si>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</si>
  <si>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</si>
  <si>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</si>
  <si>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Letní pobytový tábor</t>
  </si>
  <si>
    <t>Slezská diakonie - výdejna potravin</t>
  </si>
  <si>
    <t>Slezská diakonie - projekt "Stravenka F≈M"</t>
  </si>
  <si>
    <t>1.9.2023 - 31.12.2023</t>
  </si>
  <si>
    <t>Spolek Cesta bez bariér - oprava a údržba vozidel</t>
  </si>
  <si>
    <t>Svaz postižených civilizačními chorobami v ČR, z. s., okresní organizace Frýdek-Místek - na dopravu autobusem na zájezd pro členy svazu</t>
  </si>
  <si>
    <t>Svaz postižených civilizačními chorobami v ČR, z. s., ZO Naděje - na celoroční činnost spolku</t>
  </si>
  <si>
    <t>Charita Frýdek-Místek - Podpora dobrovolnictví</t>
  </si>
  <si>
    <t>Ostatní neinvestiční výdaje odboru sociálních služeb</t>
  </si>
  <si>
    <t>ORJ 12-Investiční odbor</t>
  </si>
  <si>
    <t>Neinvestiční výdaje investičního odboru z transferů</t>
  </si>
  <si>
    <t>Ostatní neinvestiční výdaje investičního odboru</t>
  </si>
  <si>
    <t>ORJ 13-Odbor územního rozvoje a stavebního řádu</t>
  </si>
  <si>
    <t>Neinvestiční výdaje odboru územního rozvoje a stavebního řádu z transferů</t>
  </si>
  <si>
    <t>DP Regenerace objektů s historickou nebo historizující fasádou na území města Frýdek-Místek - viz doplňující příloha č. 8</t>
  </si>
  <si>
    <t>viz dopl. příloha č. 8</t>
  </si>
  <si>
    <t>DP Regenerace města Frýdku-Místku - viz doplňující příloha č. 7</t>
  </si>
  <si>
    <t>viz dopl. příloha č. 7</t>
  </si>
  <si>
    <t>DP Reklama F-M - podpora zřízení či obnovy označení provozoven - viz doplňující příloha č. 14</t>
  </si>
  <si>
    <t>viz dopl. příloha č. 14</t>
  </si>
  <si>
    <t>Římskokatolická farnost Místek - individuální dotace pro Kostel sv. Jakuba, Místek - sanace zdiva</t>
  </si>
  <si>
    <t xml:space="preserve">Turistické informační centrum - na provoz </t>
  </si>
  <si>
    <t>Turistické informační centrum - FM plný chutí a Beskydské rekordy - příspěvek s vyúčtováním</t>
  </si>
  <si>
    <t>Turistické informační centrum - FM plný chutí - příspěvek s vyúčtováním</t>
  </si>
  <si>
    <t>Turistické informační centrum - ÚZ 00673</t>
  </si>
  <si>
    <t>Turistické informační centrum - ÚZ 00801</t>
  </si>
  <si>
    <t>1.3.2023 - 30.9.2023</t>
  </si>
  <si>
    <t>Destinační management turistické oblasti Beskydy - Valašsko, o. p. s. - příspěvek do fondu cestovního ruchu</t>
  </si>
  <si>
    <t xml:space="preserve">Sdružení Region Beskydy - neinvestiční příspěvek </t>
  </si>
  <si>
    <t>1.1.2023 - 30.6.2024</t>
  </si>
  <si>
    <t>Sdružení pro rozvoj Moravskoslezského kraje - členský příspěvek</t>
  </si>
  <si>
    <t>Sdružení historických sídel Čech, Moravy a Slezska - členský příspěvek</t>
  </si>
  <si>
    <t>Dobrovolný svazek obcí Olešná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</si>
  <si>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</si>
  <si>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</si>
  <si>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</si>
  <si>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</si>
  <si>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Zachování a obnova kulturních památek: Římskokatolická farnost Místek - obnova kostela sv. Jakuba, F-M - ÚZ 34054</t>
  </si>
  <si>
    <t>Ostatní neinvestiční výdaje odboru územního rozvoje a stavebního řádu</t>
  </si>
  <si>
    <t>ORJ 16-Městská policie</t>
  </si>
  <si>
    <t>Neinvestiční výdaje Městské policie z transferů</t>
  </si>
  <si>
    <t>Ostatní neinvestiční výdaje Městské policie</t>
  </si>
  <si>
    <t>ORJ 17-Odbor informačních technologií</t>
  </si>
  <si>
    <t>Neinvestiční výdaje odboru informačních technologií z transferů</t>
  </si>
  <si>
    <t>Ostatní neinvestiční výdaje odboru informačních technologií</t>
  </si>
  <si>
    <t>ORJ 18-Odbor bezpečnostních rizik a prevence kriminality</t>
  </si>
  <si>
    <t>Neinvestiční výdaje odboru bezpečnostních rizik a prevence kriminality z transferů</t>
  </si>
  <si>
    <t>DP Prevence kriminality - viz doplňující příloha č. 6</t>
  </si>
  <si>
    <t>viz dopl. příloha č. 6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</si>
  <si>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</si>
  <si>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</si>
  <si>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</si>
  <si>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</si>
  <si>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</si>
  <si>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Kapitálové výdaje odboru vnitřních věcí z transferů</t>
  </si>
  <si>
    <t>Výdaje na investiční akce</t>
  </si>
  <si>
    <t>Kapitálové výdaje hrazené ze sociálního fondu</t>
  </si>
  <si>
    <t>Ostatní kapitálové výdaje odboru vnitřních věcí</t>
  </si>
  <si>
    <t>x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</si>
  <si>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</si>
  <si>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</si>
  <si>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</si>
  <si>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</si>
  <si>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</si>
  <si>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</si>
  <si>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</si>
  <si>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</si>
  <si>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Nabytí pozemku p. č. 153 zastavěná plocha a nádvoří, jehož součástí je stavba č.p. 113, občanská vybavenost, pozemku p.č. 154/1 ostatní plocha, zeleň, pozemku p.č. 154/3 ostatní plocha, ostatní komunikace a pozemku p.č. 154/4 ostatní plocha, zeleň, vše k.ú. Místek, obec Frýdek-Místek, zapsáno na listu vlastnictví č. 1662 u Katastrálního úřadu pro Moravskoslezský kraj, Katastrální pracoviště Frýdek-Místek (tzv. "Český dům"), včetně všech součástí a příslušenství</t>
  </si>
  <si>
    <t>Kapitálové výdaje hrazené z Fondu pomoci občanům dotčeným výstavbou komunikace R/48</t>
  </si>
  <si>
    <t>Ostatní kapitálové výdaje odboru správy obecního majetku</t>
  </si>
  <si>
    <t>Ostatní kapitálové výdaje živnostenského úřadu</t>
  </si>
  <si>
    <t>Kapitálové výdaje odboru ŠKMaT z transferů</t>
  </si>
  <si>
    <t>MŠ Pohádka - investiční transfer na výměnu nefunkčních radiátorových ventilů za termoventily - s vyúčtováním</t>
  </si>
  <si>
    <t>MŠ Radost - investiční transfer na projekt "Zahrada s přírodními prvky MŠ J. Trnky" poskytnutý ex post - bez vyúčtování</t>
  </si>
  <si>
    <t>MŠ Radost - investiční transfer na pořízení konvektomatu - s vyúčtováním</t>
  </si>
  <si>
    <t>ZŠ a MŠ F-M, Skalice 192 - investiční transfer na vybudování šaten v MŠ - s vyúčtováním</t>
  </si>
  <si>
    <t>ZŠ nár. um. P. Bezruče, F-M, tř. TGM 454 - pořízení konvektomatu - s vyúčtováním</t>
  </si>
  <si>
    <t>ZŠ F-M, Pionýrů 400 - investiční transfer na výměnu osvětlení ve sportovní hale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</si>
  <si>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</si>
  <si>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</si>
  <si>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</si>
  <si>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</si>
  <si>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ZŠ a MŠ F-M, Lískovec, K Sedlištím 320 - investiční transfer na výstavbu bezbariérového WC v ZŠ - s vyúčtováním</t>
  </si>
  <si>
    <t>ZŠ a MŠ F-M Chlebovice, Pod Kabáticí 107 - investiční transfer na výměnu střešních oken v ZŠ - s vyúčtováním</t>
  </si>
  <si>
    <t>Městská knihovna Frýdek-Místek - investiční dotace na realizaci projektu "Vybavení knihovny RFID technologií a samoobslužným půjčováním - III. etapa" - ÚZ 34544</t>
  </si>
  <si>
    <t>Ostatní kapitálové výdaje odboru ŠKMaT</t>
  </si>
  <si>
    <t>Kapitálové výdaje odboru dopravy a silničního hospodářství z transferů</t>
  </si>
  <si>
    <t>Ostatní kapitálové výdaje odboru dopravy a silničního hospodářství</t>
  </si>
  <si>
    <t>Kapitálové výdaje odboru životního prostředí a zemědělství z transferů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</si>
  <si>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</si>
  <si>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DP Podpora napojení na vodohospodářskou infrastrukturu města - viz doplňující příloha č. 15</t>
  </si>
  <si>
    <t>viz dopl. příloha č. 15</t>
  </si>
  <si>
    <t>Investiční transfery společenstvím vlastníků jednotek BD v Lískovci ve F-M - ČOV</t>
  </si>
  <si>
    <t>1.1.2019 - 30.9.2023</t>
  </si>
  <si>
    <t>Ostatní kapitálové výdaje odboru životního prostředí a zemědělství</t>
  </si>
  <si>
    <t>Kapitálové výdaje odboru sociálních služeb z transferů</t>
  </si>
  <si>
    <t xml:space="preserve">Nemocnice ve Frýdku-Místku, p. o. - Smlouva o spolupráci </t>
  </si>
  <si>
    <t>Ostatní kapitálové výdaje odboru sociálních služeb</t>
  </si>
  <si>
    <t>Kapitálové výdaje investičního odboru z transferů</t>
  </si>
  <si>
    <t>Rezerva na realizaci akcí vybraných z participativního rozpočtu</t>
  </si>
  <si>
    <t>Rezerva na investice</t>
  </si>
  <si>
    <t>Ostatní kapitálové výdaje investičního odboru</t>
  </si>
  <si>
    <t>Kapitálové výdaje odboru územního rozvoje a stavebního řádu z transferů</t>
  </si>
  <si>
    <t>DP Pořízení hybridních automobilů - viz doplňující příloha č. 12</t>
  </si>
  <si>
    <t>viz dopl. příloha č. 12</t>
  </si>
  <si>
    <t>Rezerva na spolufinancování dotací</t>
  </si>
  <si>
    <t>Finanční dar na veřejnou sbírku "DARUJ F≈M - Flow trail Palkovické hůrky"</t>
  </si>
  <si>
    <t>Ostatní kapitálové výdaje odboru územního rozvoje a stavebního řádu</t>
  </si>
  <si>
    <t>Kapitálové výdaje Městské policie z transferů</t>
  </si>
  <si>
    <t>Kapitálové výdaje odboru informačních technologií z transferů</t>
  </si>
  <si>
    <t>Kapitálové výdaje odboru bezpečnostních rizik a prevence kriminality z transferů</t>
  </si>
  <si>
    <t>HZS Moravskoslezský kraj - investiční dotace na rekonstrukci budov hasičské stanice ve Frýdku-Místku</t>
  </si>
  <si>
    <t>SH ČMS Skalice - investiční transfer na nákup požárního stroje PS12</t>
  </si>
  <si>
    <t>1.5.2023 - 30.11.2023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</si>
  <si>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</si>
  <si>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</si>
  <si>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</si>
  <si>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</si>
  <si>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</si>
  <si>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</si>
  <si>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</si>
  <si>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</si>
  <si>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</si>
  <si>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</si>
  <si>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</si>
  <si>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</si>
  <si>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</si>
  <si>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</si>
  <si>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</si>
  <si>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MŠ Radost - ÚZ 911</t>
  </si>
  <si>
    <t>1.9.2023 - 31.1.2024</t>
  </si>
  <si>
    <t>MŠ Radost - ÚZ 253</t>
  </si>
  <si>
    <t>Centrum Pečovatelské služby Frýdek-Místek, p. o. - ÚZ 00914</t>
  </si>
  <si>
    <t>Rozpočtová opatření RM                                         č. 114 - 143                                       (v tis. Kč)</t>
  </si>
  <si>
    <t>Rozpočet roku 2023 po 4. změně a po rozpočtových opatřeních                   č. 1 - 143                                    (v tis. Kč)</t>
  </si>
  <si>
    <t>MŠ Pohádka - ÚZ 00911</t>
  </si>
  <si>
    <t>MŠ Pohádka - ÚZ 00253</t>
  </si>
  <si>
    <t>GB Draculino - 7.ročník mezinárodního turnaje v brazilském jiu-jitsu</t>
  </si>
  <si>
    <t>Zdravotnická záchranná služba MSK, p. o. - investiční transfer na pořízení transportního ventilátoru</t>
  </si>
  <si>
    <t>ZŠ a MŠ Naděje, F-M, Škarabelova 562 - na provoz MŠ k Hájku</t>
  </si>
  <si>
    <t>ZŠ F-M, El. Krásnohorské 2254 - ÚZ 33093</t>
  </si>
  <si>
    <t>1.9.2023 - 31.12.2025</t>
  </si>
  <si>
    <t>ZŠ a MŠ F-M, Lískovec - ÚZ 17085</t>
  </si>
  <si>
    <t>1.9.2023 - 31.8.2024</t>
  </si>
  <si>
    <t>ZŠ a MŠ F-M, Lískovec - ÚZ 17084</t>
  </si>
  <si>
    <t>MŠ Beruška - ÚZ 00911</t>
  </si>
  <si>
    <t>MŠ Beruška - ÚZ 00253</t>
  </si>
  <si>
    <t>ZŠ a MŠ F-M, Lískovec - ÚZ 17519</t>
  </si>
  <si>
    <t>ZŠ a MŠ F-M, Lískovec - ÚZ 17518</t>
  </si>
  <si>
    <t>MŠ Sněženka - ÚZ 00911</t>
  </si>
  <si>
    <t>MŠ Sněženka - ÚZ 00253</t>
  </si>
  <si>
    <t>ZŠ Pionýrů 400 - investiční transfer na pořízení TV lupy - s vyúčtováním</t>
  </si>
  <si>
    <t>1.9.2023 -30.4.2024</t>
  </si>
  <si>
    <t>MŠ Sluníčko - ÚZ 00911</t>
  </si>
  <si>
    <t>MŠ Sluníčko - ÚZ 00253</t>
  </si>
  <si>
    <t>5. změna rozpočtu                              (v tis. Kč)</t>
  </si>
  <si>
    <t>Rozpočtová opatření rady města č. 144 - 167 (v tis. Kč)</t>
  </si>
  <si>
    <t>8.</t>
  </si>
  <si>
    <t>Rozpočtová opatření rady města č. 168 - 170 (v tis. Kč)</t>
  </si>
  <si>
    <t>Rozpočet roku 2023 po 5. změně a po rozpočtových opatřeních                   č. 1 - 170                                    (v tis. Kč)</t>
  </si>
  <si>
    <t>MŠ Mateřídouška - ÚZ 00911</t>
  </si>
  <si>
    <t>MŠ Mateřídouška - ÚZ 00253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</si>
</sst>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1" fillId="4" borderId="4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horizontal="right"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right" vertical="center"/>
    </xf>
    <xf numFmtId="4" fontId="5" fillId="0" borderId="13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horizontal="right" vertical="center"/>
    </xf>
    <xf numFmtId="4" fontId="5" fillId="0" borderId="16" xfId="0" applyNumberFormat="1" applyFont="1" applyBorder="1" applyAlignment="1">
      <alignment vertical="center"/>
    </xf>
    <xf numFmtId="4" fontId="5" fillId="0" borderId="17" xfId="0" applyNumberFormat="1" applyFont="1" applyBorder="1" applyAlignment="1">
      <alignment vertical="center"/>
    </xf>
    <xf numFmtId="0" fontId="6" fillId="4" borderId="4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right" vertical="center"/>
    </xf>
    <xf numFmtId="4" fontId="6" fillId="4" borderId="3" xfId="0" applyNumberFormat="1" applyFont="1" applyFill="1" applyBorder="1" applyAlignment="1">
      <alignment vertical="center"/>
    </xf>
    <xf numFmtId="4" fontId="6" fillId="4" borderId="5" xfId="0" applyNumberFormat="1" applyFont="1" applyFill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right" vertical="center"/>
    </xf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0" fontId="1" fillId="5" borderId="4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horizontal="right" vertical="center"/>
    </xf>
    <xf numFmtId="4" fontId="5" fillId="5" borderId="3" xfId="0" applyNumberFormat="1" applyFont="1" applyFill="1" applyBorder="1" applyAlignment="1">
      <alignment vertical="center"/>
    </xf>
    <xf numFmtId="4" fontId="5" fillId="5" borderId="5" xfId="0" applyNumberFormat="1" applyFont="1" applyFill="1" applyBorder="1" applyAlignment="1">
      <alignment vertical="center"/>
    </xf>
    <xf numFmtId="4" fontId="5" fillId="0" borderId="13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vertical="center" wrapText="1"/>
    </xf>
    <xf numFmtId="0" fontId="1" fillId="5" borderId="3" xfId="0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0" fontId="6" fillId="6" borderId="4" xfId="0" applyFont="1" applyFill="1" applyBorder="1" applyAlignment="1">
      <alignment vertical="center" wrapText="1"/>
    </xf>
    <xf numFmtId="4" fontId="6" fillId="6" borderId="3" xfId="0" applyNumberFormat="1" applyFont="1" applyFill="1" applyBorder="1" applyAlignment="1">
      <alignment vertical="center"/>
    </xf>
    <xf numFmtId="4" fontId="6" fillId="6" borderId="5" xfId="0" applyNumberFormat="1" applyFont="1" applyFill="1" applyBorder="1" applyAlignment="1">
      <alignment vertical="center"/>
    </xf>
    <xf numFmtId="0" fontId="1" fillId="7" borderId="4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right" vertical="center"/>
    </xf>
    <xf numFmtId="4" fontId="5" fillId="7" borderId="3" xfId="0" applyNumberFormat="1" applyFont="1" applyFill="1" applyBorder="1" applyAlignment="1">
      <alignment vertical="center"/>
    </xf>
    <xf numFmtId="4" fontId="5" fillId="7" borderId="5" xfId="0" applyNumberFormat="1" applyFont="1" applyFill="1" applyBorder="1" applyAlignment="1">
      <alignment vertical="center"/>
    </xf>
    <xf numFmtId="0" fontId="8" fillId="8" borderId="4" xfId="0" applyFont="1" applyFill="1" applyBorder="1" applyAlignment="1">
      <alignment horizontal="left" vertical="center" wrapText="1"/>
    </xf>
    <xf numFmtId="0" fontId="8" fillId="8" borderId="3" xfId="0" applyFont="1" applyFill="1" applyBorder="1" applyAlignment="1">
      <alignment horizontal="right" vertical="center"/>
    </xf>
    <xf numFmtId="4" fontId="1" fillId="8" borderId="3" xfId="0" applyNumberFormat="1" applyFont="1" applyFill="1" applyBorder="1" applyAlignment="1">
      <alignment vertical="center"/>
    </xf>
    <xf numFmtId="4" fontId="1" fillId="8" borderId="5" xfId="0" applyNumberFormat="1" applyFont="1" applyFill="1" applyBorder="1" applyAlignment="1">
      <alignment vertical="center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right" vertical="center"/>
    </xf>
    <xf numFmtId="0" fontId="1" fillId="8" borderId="4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4" fontId="5" fillId="3" borderId="13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8" fillId="8" borderId="4" xfId="0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4" fontId="5" fillId="3" borderId="13" xfId="0" applyNumberFormat="1" applyFont="1" applyFill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3" borderId="8" xfId="0" applyFont="1" applyFill="1" applyBorder="1" applyAlignment="1">
      <alignment horizontal="center" vertical="center"/>
    </xf>
    <xf numFmtId="4" fontId="5" fillId="3" borderId="8" xfId="0" applyNumberFormat="1" applyFont="1" applyFill="1" applyBorder="1" applyAlignment="1">
      <alignment vertical="center"/>
    </xf>
    <xf numFmtId="0" fontId="11" fillId="3" borderId="18" xfId="0" applyFont="1" applyFill="1" applyBorder="1" applyAlignment="1">
      <alignment horizontal="left" vertical="center" wrapText="1"/>
    </xf>
    <xf numFmtId="0" fontId="11" fillId="3" borderId="1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/>
    </xf>
    <xf numFmtId="4" fontId="12" fillId="3" borderId="20" xfId="0" applyNumberFormat="1" applyFont="1" applyFill="1" applyBorder="1" applyAlignment="1">
      <alignment horizontal="right" vertical="center"/>
    </xf>
    <xf numFmtId="4" fontId="13" fillId="3" borderId="20" xfId="0" applyNumberFormat="1" applyFont="1" applyFill="1" applyBorder="1" applyAlignment="1">
      <alignment horizontal="right" vertical="center"/>
    </xf>
    <xf numFmtId="4" fontId="5" fillId="0" borderId="20" xfId="0" applyNumberFormat="1" applyFont="1" applyBorder="1" applyAlignment="1">
      <alignment vertical="center"/>
    </xf>
    <xf numFmtId="4" fontId="5" fillId="3" borderId="11" xfId="0" applyNumberFormat="1" applyFont="1" applyFill="1" applyBorder="1" applyAlignment="1">
      <alignment vertical="center"/>
    </xf>
    <xf numFmtId="4" fontId="5" fillId="0" borderId="20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0" fontId="5" fillId="3" borderId="10" xfId="0" applyFont="1" applyFill="1" applyBorder="1" applyAlignment="1">
      <alignment horizontal="center" vertical="center"/>
    </xf>
    <xf numFmtId="4" fontId="5" fillId="3" borderId="10" xfId="0" applyNumberFormat="1" applyFont="1" applyFill="1" applyBorder="1" applyAlignment="1">
      <alignment vertical="center"/>
    </xf>
    <xf numFmtId="4" fontId="5" fillId="0" borderId="10" xfId="0" applyNumberFormat="1" applyFont="1" applyBorder="1" applyAlignment="1">
      <alignment horizontal="right" vertical="center"/>
    </xf>
    <xf numFmtId="4" fontId="5" fillId="0" borderId="11" xfId="0" applyNumberFormat="1" applyFont="1" applyBorder="1" applyAlignment="1">
      <alignment horizontal="right" vertical="center"/>
    </xf>
    <xf numFmtId="0" fontId="5" fillId="3" borderId="12" xfId="0" applyFont="1" applyFill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4" fontId="5" fillId="3" borderId="16" xfId="0" applyNumberFormat="1" applyFont="1" applyFill="1" applyBorder="1" applyAlignment="1">
      <alignment vertical="center"/>
    </xf>
    <xf numFmtId="0" fontId="8" fillId="8" borderId="4" xfId="0" applyFont="1" applyFill="1" applyBorder="1" applyAlignment="1">
      <alignment vertical="center" wrapText="1"/>
    </xf>
    <xf numFmtId="0" fontId="1" fillId="7" borderId="4" xfId="0" applyFont="1" applyFill="1" applyBorder="1" applyAlignment="1">
      <alignment vertical="center"/>
    </xf>
    <xf numFmtId="0" fontId="1" fillId="7" borderId="3" xfId="0" applyFont="1" applyFill="1" applyBorder="1" applyAlignment="1">
      <alignment horizontal="center" vertical="center"/>
    </xf>
    <xf numFmtId="4" fontId="1" fillId="7" borderId="3" xfId="0" applyNumberFormat="1" applyFont="1" applyFill="1" applyBorder="1" applyAlignment="1">
      <alignment vertical="center"/>
    </xf>
    <xf numFmtId="4" fontId="1" fillId="7" borderId="5" xfId="0" applyNumberFormat="1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/>
    </xf>
    <xf numFmtId="4" fontId="1" fillId="3" borderId="7" xfId="0" applyNumberFormat="1" applyFont="1" applyFill="1" applyBorder="1" applyAlignment="1">
      <alignment vertical="center"/>
    </xf>
    <xf numFmtId="0" fontId="8" fillId="7" borderId="3" xfId="0" applyFont="1" applyFill="1" applyBorder="1" applyAlignment="1">
      <alignment horizontal="center" vertical="center"/>
    </xf>
    <xf numFmtId="4" fontId="1" fillId="8" borderId="3" xfId="0" applyNumberFormat="1" applyFont="1" applyFill="1" applyBorder="1" applyAlignment="1">
      <alignment horizontal="right" vertical="center"/>
    </xf>
    <xf numFmtId="0" fontId="1" fillId="8" borderId="4" xfId="0" applyFont="1" applyFill="1" applyBorder="1" applyAlignment="1">
      <alignment vertical="center"/>
    </xf>
    <xf numFmtId="4" fontId="16" fillId="8" borderId="3" xfId="0" applyNumberFormat="1" applyFont="1" applyFill="1" applyBorder="1" applyAlignment="1">
      <alignment vertical="center"/>
    </xf>
    <xf numFmtId="4" fontId="16" fillId="8" borderId="3" xfId="0" applyNumberFormat="1" applyFont="1" applyFill="1" applyBorder="1" applyAlignment="1">
      <alignment horizontal="right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/>
    </xf>
    <xf numFmtId="0" fontId="6" fillId="7" borderId="4" xfId="0" applyFont="1" applyFill="1" applyBorder="1" applyAlignment="1">
      <alignment vertical="center"/>
    </xf>
    <xf numFmtId="0" fontId="6" fillId="7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>
      <alignment horizontal="right" vertical="center"/>
    </xf>
    <xf numFmtId="0" fontId="6" fillId="6" borderId="3" xfId="0" applyFont="1" applyFill="1" applyBorder="1" applyAlignment="1">
      <alignment horizontal="center" vertical="center"/>
    </xf>
    <xf numFmtId="4" fontId="6" fillId="6" borderId="3" xfId="0" applyNumberFormat="1" applyFont="1" applyFill="1" applyBorder="1" applyAlignment="1">
      <alignment horizontal="right" vertical="center"/>
    </xf>
    <xf numFmtId="4" fontId="5" fillId="5" borderId="3" xfId="0" applyNumberFormat="1" applyFont="1" applyFill="1" applyBorder="1" applyAlignment="1">
      <alignment horizontal="right" vertical="center"/>
    </xf>
    <xf numFmtId="0" fontId="0" fillId="0" borderId="24" xfId="0" applyBorder="1"/>
    <xf numFmtId="0" fontId="0" fillId="0" borderId="10" xfId="0" applyBorder="1"/>
    <xf numFmtId="0" fontId="0" fillId="0" borderId="25" xfId="0" applyBorder="1"/>
    <xf numFmtId="0" fontId="0" fillId="0" borderId="13" xfId="0" applyBorder="1"/>
    <xf numFmtId="0" fontId="2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/>
    </xf>
    <xf numFmtId="0" fontId="0" fillId="0" borderId="28" xfId="0" applyBorder="1"/>
    <xf numFmtId="0" fontId="0" fillId="4" borderId="27" xfId="0" applyFill="1" applyBorder="1"/>
    <xf numFmtId="4" fontId="0" fillId="0" borderId="29" xfId="0" applyNumberFormat="1" applyBorder="1" applyAlignment="1">
      <alignment vertical="center"/>
    </xf>
    <xf numFmtId="4" fontId="0" fillId="0" borderId="28" xfId="0" applyNumberFormat="1" applyBorder="1" applyAlignment="1">
      <alignment vertical="center"/>
    </xf>
    <xf numFmtId="4" fontId="6" fillId="4" borderId="27" xfId="0" applyNumberFormat="1" applyFont="1" applyFill="1" applyBorder="1" applyAlignment="1">
      <alignment vertical="center"/>
    </xf>
    <xf numFmtId="4" fontId="0" fillId="5" borderId="27" xfId="0" applyNumberFormat="1" applyFill="1" applyBorder="1" applyAlignment="1">
      <alignment vertical="center"/>
    </xf>
    <xf numFmtId="4" fontId="1" fillId="5" borderId="27" xfId="0" applyNumberFormat="1" applyFont="1" applyFill="1" applyBorder="1" applyAlignment="1">
      <alignment vertical="center"/>
    </xf>
    <xf numFmtId="4" fontId="0" fillId="7" borderId="27" xfId="0" applyNumberFormat="1" applyFill="1" applyBorder="1" applyAlignment="1">
      <alignment vertical="center"/>
    </xf>
    <xf numFmtId="4" fontId="1" fillId="8" borderId="27" xfId="0" applyNumberFormat="1" applyFont="1" applyFill="1" applyBorder="1" applyAlignment="1">
      <alignment vertical="center"/>
    </xf>
    <xf numFmtId="4" fontId="0" fillId="0" borderId="30" xfId="0" applyNumberFormat="1" applyBorder="1" applyAlignment="1">
      <alignment vertical="center"/>
    </xf>
    <xf numFmtId="4" fontId="1" fillId="7" borderId="27" xfId="0" applyNumberFormat="1" applyFont="1" applyFill="1" applyBorder="1" applyAlignment="1">
      <alignment vertical="center"/>
    </xf>
    <xf numFmtId="4" fontId="6" fillId="6" borderId="27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/>
    </xf>
    <xf numFmtId="0" fontId="0" fillId="0" borderId="7" xfId="0" applyBorder="1"/>
    <xf numFmtId="0" fontId="0" fillId="4" borderId="3" xfId="0" applyFill="1" applyBorder="1"/>
    <xf numFmtId="4" fontId="0" fillId="0" borderId="10" xfId="0" applyNumberFormat="1" applyBorder="1" applyAlignment="1">
      <alignment vertical="center"/>
    </xf>
    <xf numFmtId="4" fontId="0" fillId="0" borderId="7" xfId="0" applyNumberFormat="1" applyBorder="1" applyAlignment="1">
      <alignment vertical="center"/>
    </xf>
    <xf numFmtId="4" fontId="0" fillId="5" borderId="3" xfId="0" applyNumberFormat="1" applyFill="1" applyBorder="1" applyAlignment="1">
      <alignment vertical="center"/>
    </xf>
    <xf numFmtId="4" fontId="0" fillId="7" borderId="3" xfId="0" applyNumberFormat="1" applyFill="1" applyBorder="1" applyAlignment="1">
      <alignment vertical="center"/>
    </xf>
    <xf numFmtId="4" fontId="0" fillId="0" borderId="13" xfId="0" applyNumberFormat="1" applyBorder="1" applyAlignment="1">
      <alignment vertical="center"/>
    </xf>
    <xf numFmtId="4" fontId="0" fillId="0" borderId="16" xfId="0" applyNumberFormat="1" applyBorder="1" applyAlignment="1">
      <alignment vertical="center"/>
    </xf>
    <xf numFmtId="4" fontId="8" fillId="8" borderId="3" xfId="0" applyNumberFormat="1" applyFont="1" applyFill="1" applyBorder="1" applyAlignment="1">
      <alignment vertical="center"/>
    </xf>
    <xf numFmtId="4" fontId="1" fillId="7" borderId="22" xfId="0" applyNumberFormat="1" applyFont="1" applyFill="1" applyBorder="1" applyAlignment="1">
      <alignment vertical="center"/>
    </xf>
    <xf numFmtId="4" fontId="1" fillId="7" borderId="23" xfId="0" applyNumberFormat="1" applyFont="1" applyFill="1" applyBorder="1" applyAlignment="1">
      <alignment vertical="center"/>
    </xf>
    <xf numFmtId="0" fontId="1" fillId="7" borderId="21" xfId="0" applyFont="1" applyFill="1" applyBorder="1" applyAlignment="1">
      <alignment vertical="center"/>
    </xf>
    <xf numFmtId="0" fontId="1" fillId="7" borderId="22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vertical="center" wrapText="1"/>
    </xf>
    <xf numFmtId="0" fontId="5" fillId="3" borderId="33" xfId="0" applyFont="1" applyFill="1" applyBorder="1" applyAlignment="1">
      <alignment horizontal="center" vertical="center"/>
    </xf>
    <xf numFmtId="4" fontId="5" fillId="0" borderId="33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horizontal="right" vertical="center"/>
    </xf>
    <xf numFmtId="4" fontId="5" fillId="0" borderId="34" xfId="0" applyNumberFormat="1" applyFont="1" applyBorder="1" applyAlignment="1">
      <alignment vertical="center"/>
    </xf>
    <xf numFmtId="4" fontId="0" fillId="0" borderId="33" xfId="0" applyNumberFormat="1" applyBorder="1" applyAlignment="1">
      <alignment vertical="center"/>
    </xf>
    <xf numFmtId="4" fontId="0" fillId="0" borderId="35" xfId="0" applyNumberFormat="1" applyBorder="1" applyAlignment="1">
      <alignment vertical="center"/>
    </xf>
    <xf numFmtId="4" fontId="1" fillId="7" borderId="31" xfId="0" applyNumberFormat="1" applyFont="1" applyFill="1" applyBorder="1" applyAlignment="1">
      <alignment vertical="center"/>
    </xf>
    <xf numFmtId="4" fontId="0" fillId="0" borderId="36" xfId="0" applyNumberFormat="1" applyBorder="1" applyAlignment="1">
      <alignment vertical="center"/>
    </xf>
    <xf numFmtId="4" fontId="0" fillId="0" borderId="37" xfId="0" applyNumberFormat="1" applyBorder="1" applyAlignment="1">
      <alignment vertical="center"/>
    </xf>
    <xf numFmtId="4" fontId="0" fillId="0" borderId="38" xfId="0" applyNumberForma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4" fontId="12" fillId="3" borderId="0" xfId="0" applyNumberFormat="1" applyFont="1" applyFill="1" applyAlignment="1">
      <alignment horizontal="right" vertical="center"/>
    </xf>
    <xf numFmtId="4" fontId="13" fillId="3" borderId="0" xfId="0" applyNumberFormat="1" applyFont="1" applyFill="1" applyAlignment="1">
      <alignment horizontal="right" vertical="center"/>
    </xf>
    <xf numFmtId="0" fontId="8" fillId="8" borderId="32" xfId="0" applyFont="1" applyFill="1" applyBorder="1" applyAlignment="1">
      <alignment horizontal="left" vertical="center" wrapText="1"/>
    </xf>
    <xf numFmtId="0" fontId="8" fillId="8" borderId="33" xfId="0" applyFont="1" applyFill="1" applyBorder="1" applyAlignment="1">
      <alignment horizontal="center" vertical="center"/>
    </xf>
    <xf numFmtId="4" fontId="1" fillId="8" borderId="33" xfId="0" applyNumberFormat="1" applyFont="1" applyFill="1" applyBorder="1" applyAlignment="1">
      <alignment vertical="center"/>
    </xf>
    <xf numFmtId="4" fontId="1" fillId="8" borderId="34" xfId="0" applyNumberFormat="1" applyFont="1" applyFill="1" applyBorder="1" applyAlignment="1">
      <alignment vertical="center"/>
    </xf>
    <xf numFmtId="4" fontId="1" fillId="8" borderId="35" xfId="0" applyNumberFormat="1" applyFont="1" applyFill="1" applyBorder="1" applyAlignment="1">
      <alignment vertical="center"/>
    </xf>
    <xf numFmtId="0" fontId="8" fillId="8" borderId="21" xfId="0" applyFont="1" applyFill="1" applyBorder="1" applyAlignment="1">
      <alignment vertical="center"/>
    </xf>
    <xf numFmtId="0" fontId="8" fillId="8" borderId="22" xfId="0" applyFont="1" applyFill="1" applyBorder="1" applyAlignment="1">
      <alignment horizontal="center" vertical="center"/>
    </xf>
    <xf numFmtId="4" fontId="1" fillId="8" borderId="22" xfId="0" applyNumberFormat="1" applyFont="1" applyFill="1" applyBorder="1" applyAlignment="1">
      <alignment vertical="center"/>
    </xf>
    <xf numFmtId="4" fontId="1" fillId="8" borderId="23" xfId="0" applyNumberFormat="1" applyFont="1" applyFill="1" applyBorder="1" applyAlignment="1">
      <alignment vertical="center"/>
    </xf>
    <xf numFmtId="4" fontId="1" fillId="8" borderId="31" xfId="0" applyNumberFormat="1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/>
    </xf>
    <xf numFmtId="4" fontId="17" fillId="5" borderId="3" xfId="0" applyNumberFormat="1" applyFont="1" applyFill="1" applyBorder="1" applyAlignment="1">
      <alignment vertical="center"/>
    </xf>
    <xf numFmtId="4" fontId="1" fillId="8" borderId="22" xfId="0" applyNumberFormat="1" applyFont="1" applyFill="1" applyBorder="1" applyAlignment="1">
      <alignment horizontal="right" vertical="center"/>
    </xf>
    <xf numFmtId="0" fontId="1" fillId="5" borderId="21" xfId="0" applyFont="1" applyFill="1" applyBorder="1" applyAlignment="1">
      <alignment vertical="center" wrapText="1"/>
    </xf>
    <xf numFmtId="0" fontId="1" fillId="5" borderId="22" xfId="0" applyFont="1" applyFill="1" applyBorder="1" applyAlignment="1">
      <alignment horizontal="center" vertical="center"/>
    </xf>
    <xf numFmtId="4" fontId="8" fillId="5" borderId="22" xfId="0" applyNumberFormat="1" applyFont="1" applyFill="1" applyBorder="1" applyAlignment="1">
      <alignment vertical="center"/>
    </xf>
    <xf numFmtId="4" fontId="8" fillId="5" borderId="22" xfId="0" applyNumberFormat="1" applyFont="1" applyFill="1" applyBorder="1" applyAlignment="1">
      <alignment horizontal="right" vertical="center"/>
    </xf>
    <xf numFmtId="4" fontId="8" fillId="5" borderId="23" xfId="0" applyNumberFormat="1" applyFont="1" applyFill="1" applyBorder="1" applyAlignment="1">
      <alignment vertical="center"/>
    </xf>
    <xf numFmtId="4" fontId="0" fillId="5" borderId="31" xfId="0" applyNumberFormat="1" applyFill="1" applyBorder="1" applyAlignment="1">
      <alignment vertical="center"/>
    </xf>
    <xf numFmtId="0" fontId="6" fillId="6" borderId="3" xfId="0" applyFont="1" applyFill="1" applyBorder="1" applyAlignment="1">
      <alignment horizontal="right" vertical="center"/>
    </xf>
    <xf numFmtId="4" fontId="1" fillId="6" borderId="3" xfId="0" applyNumberFormat="1" applyFont="1" applyFill="1" applyBorder="1" applyAlignment="1">
      <alignment vertical="center"/>
    </xf>
    <xf numFmtId="4" fontId="1" fillId="6" borderId="27" xfId="0" applyNumberFormat="1" applyFont="1" applyFill="1" applyBorder="1" applyAlignment="1">
      <alignment vertical="center"/>
    </xf>
    <xf numFmtId="4" fontId="0" fillId="0" borderId="39" xfId="0" applyNumberForma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/>
    </xf>
    <xf numFmtId="4" fontId="0" fillId="0" borderId="3" xfId="0" applyNumberFormat="1" applyBorder="1" applyAlignment="1">
      <alignment vertical="center"/>
    </xf>
    <xf numFmtId="4" fontId="0" fillId="0" borderId="27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1CDA-DCE1-4941-8238-9A86B96002B8}">
  <dimension ref="A1:AD419"/>
  <sheetViews>
    <sheetView tabSelected="1" view="pageLayout" topLeftCell="A409" zoomScale="90" zoomScaleNormal="100" zoomScalePageLayoutView="90" workbookViewId="0">
      <selection activeCell="A417" sqref="A417:AD417"/>
    </sheetView>
  </sheetViews>
  <sheetFormatPr defaultColWidth="9.140625" defaultRowHeight="15" x14ac:dyDescent="0.25"/>
  <cols>
    <col min="1" max="1" width="39.7109375" customWidth="1"/>
    <col min="2" max="2" width="17.42578125" customWidth="1"/>
    <col min="3" max="3" width="13.7109375" hidden="1" customWidth="1"/>
    <col min="4" max="4" width="12.7109375" style="121" hidden="1" customWidth="1"/>
    <col min="5" max="5" width="12.7109375" style="122" hidden="1" customWidth="1"/>
    <col min="6" max="6" width="12.7109375" hidden="1" customWidth="1"/>
    <col min="7" max="7" width="0.42578125" hidden="1" customWidth="1"/>
    <col min="8" max="8" width="14.28515625" hidden="1" customWidth="1"/>
    <col min="9" max="9" width="11.85546875" hidden="1" customWidth="1"/>
    <col min="10" max="10" width="12.5703125" hidden="1" customWidth="1"/>
    <col min="11" max="11" width="0.28515625" hidden="1" customWidth="1"/>
    <col min="12" max="12" width="12.42578125" customWidth="1"/>
    <col min="13" max="13" width="13.140625" hidden="1" customWidth="1"/>
    <col min="14" max="14" width="11.140625" hidden="1" customWidth="1"/>
    <col min="15" max="15" width="17.42578125" hidden="1" customWidth="1"/>
    <col min="16" max="16" width="15.140625" hidden="1" customWidth="1"/>
    <col min="17" max="17" width="13.5703125" hidden="1" customWidth="1"/>
    <col min="18" max="18" width="12.5703125" hidden="1" customWidth="1"/>
    <col min="19" max="19" width="13.85546875" hidden="1" customWidth="1"/>
    <col min="20" max="20" width="13.28515625" hidden="1" customWidth="1"/>
    <col min="21" max="21" width="9.5703125" hidden="1" customWidth="1"/>
    <col min="22" max="22" width="11.28515625" hidden="1" customWidth="1"/>
    <col min="23" max="25" width="13.28515625" hidden="1" customWidth="1"/>
    <col min="26" max="26" width="13" customWidth="1"/>
    <col min="27" max="27" width="12" customWidth="1"/>
    <col min="28" max="28" width="12.42578125" customWidth="1"/>
    <col min="29" max="29" width="12" customWidth="1"/>
    <col min="30" max="30" width="12.5703125" customWidth="1"/>
  </cols>
  <sheetData>
    <row r="1" spans="1:30" ht="84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3" t="s">
        <v>420</v>
      </c>
      <c r="Z1" s="2" t="s">
        <v>421</v>
      </c>
      <c r="AA1" s="2" t="s">
        <v>443</v>
      </c>
      <c r="AB1" s="2" t="s">
        <v>442</v>
      </c>
      <c r="AC1" s="2" t="s">
        <v>445</v>
      </c>
      <c r="AD1" s="123" t="s">
        <v>446</v>
      </c>
    </row>
    <row r="2" spans="1:30" ht="13.5" customHeight="1" thickBot="1" x14ac:dyDescent="0.3">
      <c r="A2" s="4" t="s">
        <v>24</v>
      </c>
      <c r="B2" s="5" t="s">
        <v>25</v>
      </c>
      <c r="C2" s="6" t="s">
        <v>26</v>
      </c>
      <c r="D2" s="6" t="s">
        <v>27</v>
      </c>
      <c r="E2" s="6" t="s">
        <v>27</v>
      </c>
      <c r="F2" s="6" t="s">
        <v>28</v>
      </c>
      <c r="G2" s="6" t="s">
        <v>29</v>
      </c>
      <c r="H2" s="6" t="s">
        <v>27</v>
      </c>
      <c r="I2" s="6" t="s">
        <v>28</v>
      </c>
      <c r="J2" s="6" t="s">
        <v>29</v>
      </c>
      <c r="K2" s="6" t="s">
        <v>27</v>
      </c>
      <c r="L2" s="6" t="s">
        <v>26</v>
      </c>
      <c r="M2" s="6" t="s">
        <v>29</v>
      </c>
      <c r="N2" s="6" t="s">
        <v>30</v>
      </c>
      <c r="O2" s="6" t="s">
        <v>27</v>
      </c>
      <c r="P2" s="6" t="s">
        <v>27</v>
      </c>
      <c r="Q2" s="6" t="s">
        <v>28</v>
      </c>
      <c r="R2" s="6"/>
      <c r="S2" s="6" t="s">
        <v>27</v>
      </c>
      <c r="T2" s="6" t="s">
        <v>28</v>
      </c>
      <c r="U2" s="6" t="s">
        <v>31</v>
      </c>
      <c r="V2" s="6" t="s">
        <v>32</v>
      </c>
      <c r="W2" s="6" t="s">
        <v>33</v>
      </c>
      <c r="X2" s="6" t="s">
        <v>34</v>
      </c>
      <c r="Y2" s="7" t="s">
        <v>31</v>
      </c>
      <c r="Z2" s="137" t="s">
        <v>33</v>
      </c>
      <c r="AA2" s="137" t="s">
        <v>34</v>
      </c>
      <c r="AB2" s="137" t="s">
        <v>31</v>
      </c>
      <c r="AC2" s="137" t="s">
        <v>32</v>
      </c>
      <c r="AD2" s="124" t="s">
        <v>444</v>
      </c>
    </row>
    <row r="3" spans="1:30" ht="9.75" customHeight="1" thickBot="1" x14ac:dyDescent="0.3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1"/>
      <c r="Z3" s="138"/>
      <c r="AA3" s="138"/>
      <c r="AB3" s="138"/>
      <c r="AC3" s="138"/>
      <c r="AD3" s="125"/>
    </row>
    <row r="4" spans="1:30" ht="13.5" customHeight="1" thickBot="1" x14ac:dyDescent="0.3">
      <c r="A4" s="12" t="s">
        <v>35</v>
      </c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5"/>
      <c r="Z4" s="139"/>
      <c r="AA4" s="139"/>
      <c r="AB4" s="139"/>
      <c r="AC4" s="139"/>
      <c r="AD4" s="126"/>
    </row>
    <row r="5" spans="1:30" ht="15" customHeight="1" x14ac:dyDescent="0.25">
      <c r="A5" s="16" t="s">
        <v>36</v>
      </c>
      <c r="B5" s="17"/>
      <c r="C5" s="18">
        <v>926510</v>
      </c>
      <c r="D5" s="18">
        <v>0</v>
      </c>
      <c r="E5" s="18">
        <f>SUM(C5:D5)</f>
        <v>926510</v>
      </c>
      <c r="F5" s="18">
        <f>-668+1428</f>
        <v>760</v>
      </c>
      <c r="G5" s="18">
        <v>0</v>
      </c>
      <c r="H5" s="18">
        <f>SUM(E5:G5)</f>
        <v>927270</v>
      </c>
      <c r="I5" s="18">
        <v>0</v>
      </c>
      <c r="J5" s="18">
        <v>0</v>
      </c>
      <c r="K5" s="18">
        <f>SUM(H5:J5)</f>
        <v>927270</v>
      </c>
      <c r="L5" s="18">
        <v>1124260</v>
      </c>
      <c r="M5" s="18">
        <f>L5-K5</f>
        <v>196990</v>
      </c>
      <c r="N5" s="18">
        <f>L5/K5</f>
        <v>1.2124408209043751</v>
      </c>
      <c r="O5" s="18">
        <v>0</v>
      </c>
      <c r="P5" s="18">
        <f>L5+O5</f>
        <v>1124260</v>
      </c>
      <c r="Q5" s="18">
        <v>442.61</v>
      </c>
      <c r="R5" s="18">
        <v>0</v>
      </c>
      <c r="S5" s="18">
        <f>SUM(P5:R5)</f>
        <v>1124702.6100000001</v>
      </c>
      <c r="T5" s="18">
        <v>0</v>
      </c>
      <c r="U5" s="18">
        <v>0</v>
      </c>
      <c r="V5" s="18">
        <v>0</v>
      </c>
      <c r="W5" s="18">
        <f>SUM(S5:V5)</f>
        <v>1124702.6100000001</v>
      </c>
      <c r="X5" s="18">
        <v>1258</v>
      </c>
      <c r="Y5" s="19">
        <v>0</v>
      </c>
      <c r="Z5" s="140">
        <f>SUM(W5:Y5)</f>
        <v>1125960.6100000001</v>
      </c>
      <c r="AA5" s="140">
        <v>0</v>
      </c>
      <c r="AB5" s="140">
        <f>97404</f>
        <v>97404</v>
      </c>
      <c r="AC5" s="140">
        <v>0</v>
      </c>
      <c r="AD5" s="127">
        <f>SUM(Z5:AC5)</f>
        <v>1223364.6100000001</v>
      </c>
    </row>
    <row r="6" spans="1:30" ht="15" customHeight="1" x14ac:dyDescent="0.25">
      <c r="A6" s="20" t="s">
        <v>37</v>
      </c>
      <c r="B6" s="21"/>
      <c r="C6" s="22">
        <v>177191.8</v>
      </c>
      <c r="D6" s="22">
        <f>17.84+84.99+59.2</f>
        <v>162.03</v>
      </c>
      <c r="E6" s="22">
        <f>SUM(C6:D6)+94.17</f>
        <v>177448</v>
      </c>
      <c r="F6" s="22">
        <v>1764.01</v>
      </c>
      <c r="G6" s="22">
        <f>-194.61+24.61+5.13</f>
        <v>-164.87</v>
      </c>
      <c r="H6" s="22">
        <f>SUM(E6:G6)+14.56</f>
        <v>179061.7</v>
      </c>
      <c r="I6" s="22">
        <v>9713.93</v>
      </c>
      <c r="J6" s="22">
        <f>56.36+3.82+14.32</f>
        <v>74.5</v>
      </c>
      <c r="K6" s="22">
        <f>SUM(H6:J6)</f>
        <v>188850.13</v>
      </c>
      <c r="L6" s="22">
        <v>192593</v>
      </c>
      <c r="M6" s="22">
        <f t="shared" ref="M6:M8" si="0">L6-K6</f>
        <v>3742.8699999999953</v>
      </c>
      <c r="N6" s="22">
        <f t="shared" ref="N6:N8" si="1">L6/K6</f>
        <v>1.0198192609134025</v>
      </c>
      <c r="O6" s="22">
        <f>160+94.59+934.91+39.89+902.1</f>
        <v>2131.4900000000002</v>
      </c>
      <c r="P6" s="22">
        <f>L6+O6+2.84</f>
        <v>194727.33</v>
      </c>
      <c r="Q6" s="22">
        <v>2009</v>
      </c>
      <c r="R6" s="22">
        <f>1153.78+1004.92+892.5</f>
        <v>3051.2</v>
      </c>
      <c r="S6" s="22">
        <f>SUM(P6:R6)+8.2</f>
        <v>199795.73</v>
      </c>
      <c r="T6" s="22">
        <v>22138.02</v>
      </c>
      <c r="U6" s="22">
        <v>0</v>
      </c>
      <c r="V6" s="22">
        <f>918.95+891.05</f>
        <v>1810</v>
      </c>
      <c r="W6" s="22">
        <f>SUM(S6:V6)+618.38+0.22</f>
        <v>224362.35</v>
      </c>
      <c r="X6" s="22">
        <v>14072</v>
      </c>
      <c r="Y6" s="23">
        <f>427.62+454.91+6.25</f>
        <v>888.78</v>
      </c>
      <c r="Z6" s="140">
        <f t="shared" ref="Z6:Z70" si="2">SUM(W6:Y6)</f>
        <v>239323.13</v>
      </c>
      <c r="AA6" s="140">
        <f>502.07+53.73</f>
        <v>555.79999999999995</v>
      </c>
      <c r="AB6" s="140">
        <f>3779.17+80</f>
        <v>3859.17</v>
      </c>
      <c r="AC6" s="140">
        <f>420.6</f>
        <v>420.6</v>
      </c>
      <c r="AD6" s="127">
        <f>SUM(Z6:AC6)</f>
        <v>244158.7</v>
      </c>
    </row>
    <row r="7" spans="1:30" ht="15" customHeight="1" x14ac:dyDescent="0.25">
      <c r="A7" s="20" t="s">
        <v>38</v>
      </c>
      <c r="B7" s="21"/>
      <c r="C7" s="22">
        <v>1000</v>
      </c>
      <c r="D7" s="22">
        <v>0</v>
      </c>
      <c r="E7" s="22">
        <f t="shared" ref="E7" si="3">SUM(C7:D7)</f>
        <v>1000</v>
      </c>
      <c r="F7" s="22">
        <v>0</v>
      </c>
      <c r="G7" s="22">
        <v>0</v>
      </c>
      <c r="H7" s="22">
        <f>SUM(E7:G7)</f>
        <v>1000</v>
      </c>
      <c r="I7" s="22">
        <v>49452.37</v>
      </c>
      <c r="J7" s="22">
        <v>0</v>
      </c>
      <c r="K7" s="22">
        <f t="shared" ref="K7:K78" si="4">SUM(H7:J7)</f>
        <v>50452.37</v>
      </c>
      <c r="L7" s="22">
        <v>1000</v>
      </c>
      <c r="M7" s="22">
        <f t="shared" si="0"/>
        <v>-49452.37</v>
      </c>
      <c r="N7" s="22">
        <f t="shared" si="1"/>
        <v>1.9820674430160563E-2</v>
      </c>
      <c r="O7" s="22">
        <v>0</v>
      </c>
      <c r="P7" s="22">
        <f t="shared" ref="P7" si="5">L7+O7</f>
        <v>1000</v>
      </c>
      <c r="Q7" s="22">
        <v>0</v>
      </c>
      <c r="R7" s="22">
        <v>0</v>
      </c>
      <c r="S7" s="22">
        <f t="shared" ref="S7" si="6">SUM(P7:R7)</f>
        <v>1000</v>
      </c>
      <c r="T7" s="22">
        <v>0</v>
      </c>
      <c r="U7" s="22">
        <v>0</v>
      </c>
      <c r="V7" s="22">
        <v>0</v>
      </c>
      <c r="W7" s="22">
        <f t="shared" ref="W7:W18" si="7">SUM(S7:V7)</f>
        <v>1000</v>
      </c>
      <c r="X7" s="22">
        <v>145</v>
      </c>
      <c r="Y7" s="23">
        <v>0</v>
      </c>
      <c r="Z7" s="140">
        <f t="shared" si="2"/>
        <v>1145</v>
      </c>
      <c r="AA7" s="140">
        <v>0</v>
      </c>
      <c r="AB7" s="140">
        <f>1031</f>
        <v>1031</v>
      </c>
      <c r="AC7" s="140">
        <v>0</v>
      </c>
      <c r="AD7" s="127">
        <f t="shared" ref="AD7:AD69" si="8">SUM(Z7:AC7)</f>
        <v>2176</v>
      </c>
    </row>
    <row r="8" spans="1:30" ht="15" customHeight="1" thickBot="1" x14ac:dyDescent="0.3">
      <c r="A8" s="24" t="s">
        <v>39</v>
      </c>
      <c r="B8" s="25"/>
      <c r="C8" s="26">
        <v>146393.82999999999</v>
      </c>
      <c r="D8" s="26">
        <f>6518+1512</f>
        <v>8030</v>
      </c>
      <c r="E8" s="26">
        <f>SUM(C8:D8)+223.57</f>
        <v>154647.4</v>
      </c>
      <c r="F8" s="26">
        <v>0</v>
      </c>
      <c r="G8" s="26">
        <f>1678+100-45+64906.72+1253.45</f>
        <v>67893.17</v>
      </c>
      <c r="H8" s="26">
        <f>SUM(E8:G8)+5029.24</f>
        <v>227569.81</v>
      </c>
      <c r="I8" s="26">
        <v>6170.41</v>
      </c>
      <c r="J8" s="26">
        <f>1360+82.14+4093.05+654.04+1913.45+3344.57-2131.2</f>
        <v>9316.0499999999993</v>
      </c>
      <c r="K8" s="26">
        <f t="shared" si="4"/>
        <v>243056.27</v>
      </c>
      <c r="L8" s="26">
        <v>190556.95</v>
      </c>
      <c r="M8" s="26">
        <f t="shared" si="0"/>
        <v>-52499.319999999978</v>
      </c>
      <c r="N8" s="26">
        <f t="shared" si="1"/>
        <v>0.78400343262076733</v>
      </c>
      <c r="O8" s="26">
        <f>2215.2+4452.24+232.94</f>
        <v>6900.3799999999992</v>
      </c>
      <c r="P8" s="26">
        <f>L8+O8</f>
        <v>197457.33000000002</v>
      </c>
      <c r="Q8" s="26">
        <v>4864</v>
      </c>
      <c r="R8" s="26">
        <f>6119.39+48720.33+4252.94</f>
        <v>59092.66</v>
      </c>
      <c r="S8" s="26">
        <f>SUM(P8:R8)+20170.75</f>
        <v>281584.74</v>
      </c>
      <c r="T8" s="26">
        <v>0</v>
      </c>
      <c r="U8" s="26">
        <v>0</v>
      </c>
      <c r="V8" s="26">
        <f>5137.44+1126.86</f>
        <v>6264.2999999999993</v>
      </c>
      <c r="W8" s="26">
        <f>SUM(S8:V8)+4356.31+244.04</f>
        <v>292449.38999999996</v>
      </c>
      <c r="X8" s="26">
        <v>2612.06</v>
      </c>
      <c r="Y8" s="27">
        <f>117+216+18650.7</f>
        <v>18983.7</v>
      </c>
      <c r="Z8" s="141">
        <f t="shared" si="2"/>
        <v>314045.14999999997</v>
      </c>
      <c r="AA8" s="141">
        <f>140.09+1581.32+134.29+125+38.14+58.1</f>
        <v>2076.94</v>
      </c>
      <c r="AB8" s="141">
        <f>-3905-2951</f>
        <v>-6856</v>
      </c>
      <c r="AC8" s="141">
        <f>186.7</f>
        <v>186.7</v>
      </c>
      <c r="AD8" s="128">
        <f t="shared" si="8"/>
        <v>309452.78999999998</v>
      </c>
    </row>
    <row r="9" spans="1:30" ht="16.5" customHeight="1" thickBot="1" x14ac:dyDescent="0.3">
      <c r="A9" s="28" t="s">
        <v>40</v>
      </c>
      <c r="B9" s="29"/>
      <c r="C9" s="30">
        <f t="shared" ref="C9:H9" si="9">SUM(C5:C8)</f>
        <v>1251095.6300000001</v>
      </c>
      <c r="D9" s="30">
        <f t="shared" si="9"/>
        <v>8192.0300000000007</v>
      </c>
      <c r="E9" s="30">
        <f t="shared" si="9"/>
        <v>1259605.3999999999</v>
      </c>
      <c r="F9" s="30">
        <f t="shared" si="9"/>
        <v>2524.0100000000002</v>
      </c>
      <c r="G9" s="30">
        <f t="shared" si="9"/>
        <v>67728.3</v>
      </c>
      <c r="H9" s="30">
        <f t="shared" si="9"/>
        <v>1334901.51</v>
      </c>
      <c r="I9" s="30">
        <f>SUM(I5:I8)</f>
        <v>65336.710000000006</v>
      </c>
      <c r="J9" s="30">
        <f>SUM(J5:J8)</f>
        <v>9390.5499999999993</v>
      </c>
      <c r="K9" s="30">
        <f t="shared" si="4"/>
        <v>1409628.77</v>
      </c>
      <c r="L9" s="30">
        <f t="shared" ref="L9" si="10">SUM(L5:L8)</f>
        <v>1508409.95</v>
      </c>
      <c r="M9" s="30">
        <f>SUM(M5:M8)</f>
        <v>98781.180000000022</v>
      </c>
      <c r="N9" s="30">
        <f>M9/L9</f>
        <v>6.5486958634819417E-2</v>
      </c>
      <c r="O9" s="30">
        <f t="shared" ref="O9:Y9" si="11">SUM(O5:O8)</f>
        <v>9031.869999999999</v>
      </c>
      <c r="P9" s="30">
        <f t="shared" si="11"/>
        <v>1517444.6600000001</v>
      </c>
      <c r="Q9" s="30">
        <f t="shared" si="11"/>
        <v>7315.6100000000006</v>
      </c>
      <c r="R9" s="30">
        <f t="shared" si="11"/>
        <v>62143.86</v>
      </c>
      <c r="S9" s="30">
        <f t="shared" si="11"/>
        <v>1607083.08</v>
      </c>
      <c r="T9" s="30">
        <f t="shared" si="11"/>
        <v>22138.02</v>
      </c>
      <c r="U9" s="30">
        <f t="shared" si="11"/>
        <v>0</v>
      </c>
      <c r="V9" s="30">
        <f t="shared" si="11"/>
        <v>8074.2999999999993</v>
      </c>
      <c r="W9" s="30">
        <f t="shared" si="11"/>
        <v>1642514.35</v>
      </c>
      <c r="X9" s="30">
        <f t="shared" si="11"/>
        <v>18087.060000000001</v>
      </c>
      <c r="Y9" s="31">
        <f t="shared" si="11"/>
        <v>19872.48</v>
      </c>
      <c r="Z9" s="30">
        <f t="shared" si="2"/>
        <v>1680473.8900000001</v>
      </c>
      <c r="AA9" s="30">
        <f>SUM(AA5:AA8)</f>
        <v>2632.74</v>
      </c>
      <c r="AB9" s="30">
        <f>SUM(AB5:AB8)</f>
        <v>95438.17</v>
      </c>
      <c r="AC9" s="30">
        <f>SUM(AC5:AC8)</f>
        <v>607.29999999999995</v>
      </c>
      <c r="AD9" s="129">
        <f t="shared" si="8"/>
        <v>1779152.1</v>
      </c>
    </row>
    <row r="10" spans="1:30" ht="13.5" customHeight="1" thickBot="1" x14ac:dyDescent="0.3">
      <c r="A10" s="32"/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5"/>
      <c r="Z10" s="141"/>
      <c r="AA10" s="141"/>
      <c r="AB10" s="141"/>
      <c r="AC10" s="141"/>
      <c r="AD10" s="128"/>
    </row>
    <row r="11" spans="1:30" ht="15" customHeight="1" thickBot="1" x14ac:dyDescent="0.3">
      <c r="A11" s="36" t="s">
        <v>41</v>
      </c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9"/>
      <c r="Z11" s="142"/>
      <c r="AA11" s="142"/>
      <c r="AB11" s="142"/>
      <c r="AC11" s="142"/>
      <c r="AD11" s="130"/>
    </row>
    <row r="12" spans="1:30" x14ac:dyDescent="0.25">
      <c r="A12" s="16" t="s">
        <v>42</v>
      </c>
      <c r="B12" s="17"/>
      <c r="C12" s="18">
        <v>173947.22</v>
      </c>
      <c r="D12" s="18">
        <f>160+1116.95</f>
        <v>1276.95</v>
      </c>
      <c r="E12" s="18">
        <f>SUM(C12:D12)</f>
        <v>175224.17</v>
      </c>
      <c r="F12" s="18">
        <v>102517.99</v>
      </c>
      <c r="G12" s="18">
        <v>0</v>
      </c>
      <c r="H12" s="18">
        <f>SUM(E12:G12)</f>
        <v>277742.16000000003</v>
      </c>
      <c r="I12" s="18">
        <v>0</v>
      </c>
      <c r="J12" s="18">
        <v>0</v>
      </c>
      <c r="K12" s="18">
        <f>SUM(H12:J12)</f>
        <v>277742.16000000003</v>
      </c>
      <c r="L12" s="18">
        <v>215414.15</v>
      </c>
      <c r="M12" s="18">
        <f>L12-K12</f>
        <v>-62328.010000000038</v>
      </c>
      <c r="N12" s="18">
        <f>L12/K12</f>
        <v>0.7755903893020778</v>
      </c>
      <c r="O12" s="18">
        <f>2192.64</f>
        <v>2192.64</v>
      </c>
      <c r="P12" s="18">
        <f>L12+O12</f>
        <v>217606.79</v>
      </c>
      <c r="Q12" s="18">
        <v>98774.66</v>
      </c>
      <c r="R12" s="18">
        <v>0</v>
      </c>
      <c r="S12" s="18">
        <f>SUM(P12:R12)</f>
        <v>316381.45</v>
      </c>
      <c r="T12" s="18">
        <v>0</v>
      </c>
      <c r="U12" s="18">
        <v>0</v>
      </c>
      <c r="V12" s="18">
        <v>0</v>
      </c>
      <c r="W12" s="18">
        <f t="shared" si="7"/>
        <v>316381.45</v>
      </c>
      <c r="X12" s="18">
        <v>0</v>
      </c>
      <c r="Y12" s="19">
        <v>0</v>
      </c>
      <c r="Z12" s="140">
        <f t="shared" si="2"/>
        <v>316381.45</v>
      </c>
      <c r="AA12" s="140">
        <v>0</v>
      </c>
      <c r="AB12" s="140">
        <v>0</v>
      </c>
      <c r="AC12" s="140">
        <v>0</v>
      </c>
      <c r="AD12" s="127">
        <f t="shared" si="8"/>
        <v>316381.45</v>
      </c>
    </row>
    <row r="13" spans="1:30" x14ac:dyDescent="0.25">
      <c r="A13" s="20" t="s">
        <v>43</v>
      </c>
      <c r="B13" s="21"/>
      <c r="C13" s="22">
        <v>96184</v>
      </c>
      <c r="D13" s="22">
        <v>0</v>
      </c>
      <c r="E13" s="22">
        <f t="shared" ref="E13:E18" si="12">SUM(C13:D13)</f>
        <v>96184</v>
      </c>
      <c r="F13" s="22">
        <v>111459.92</v>
      </c>
      <c r="G13" s="22">
        <v>0</v>
      </c>
      <c r="H13" s="22">
        <f t="shared" ref="H13:H18" si="13">SUM(E13:G13)</f>
        <v>207643.91999999998</v>
      </c>
      <c r="I13" s="22">
        <v>0</v>
      </c>
      <c r="J13" s="22">
        <v>0</v>
      </c>
      <c r="K13" s="22">
        <f t="shared" si="4"/>
        <v>207643.91999999998</v>
      </c>
      <c r="L13" s="22">
        <v>172300</v>
      </c>
      <c r="M13" s="22">
        <f t="shared" ref="M13:M18" si="14">L13-K13</f>
        <v>-35343.919999999984</v>
      </c>
      <c r="N13" s="22">
        <f t="shared" ref="N13:N18" si="15">L13/K13</f>
        <v>0.82978591427093085</v>
      </c>
      <c r="O13" s="22">
        <v>0</v>
      </c>
      <c r="P13" s="22">
        <f t="shared" ref="P13:P18" si="16">L13+O13</f>
        <v>172300</v>
      </c>
      <c r="Q13" s="22">
        <v>99224.09</v>
      </c>
      <c r="R13" s="22">
        <v>0</v>
      </c>
      <c r="S13" s="22">
        <f t="shared" ref="S13:S16" si="17">SUM(P13:R13)</f>
        <v>271524.08999999997</v>
      </c>
      <c r="T13" s="22">
        <v>0</v>
      </c>
      <c r="U13" s="22">
        <v>0</v>
      </c>
      <c r="V13" s="22">
        <v>0</v>
      </c>
      <c r="W13" s="22">
        <f t="shared" si="7"/>
        <v>271524.08999999997</v>
      </c>
      <c r="X13" s="22">
        <v>0</v>
      </c>
      <c r="Y13" s="23">
        <v>0</v>
      </c>
      <c r="Z13" s="140">
        <f t="shared" si="2"/>
        <v>271524.08999999997</v>
      </c>
      <c r="AA13" s="140">
        <v>0</v>
      </c>
      <c r="AB13" s="140">
        <v>0</v>
      </c>
      <c r="AC13" s="140">
        <v>0</v>
      </c>
      <c r="AD13" s="127">
        <f t="shared" si="8"/>
        <v>271524.08999999997</v>
      </c>
    </row>
    <row r="14" spans="1:30" ht="15" customHeight="1" x14ac:dyDescent="0.25">
      <c r="A14" s="20" t="s">
        <v>44</v>
      </c>
      <c r="B14" s="21"/>
      <c r="C14" s="22">
        <v>11066</v>
      </c>
      <c r="D14" s="22">
        <v>0</v>
      </c>
      <c r="E14" s="22">
        <f t="shared" si="12"/>
        <v>11066</v>
      </c>
      <c r="F14" s="22">
        <v>0</v>
      </c>
      <c r="G14" s="22">
        <v>0</v>
      </c>
      <c r="H14" s="22">
        <f t="shared" si="13"/>
        <v>11066</v>
      </c>
      <c r="I14" s="22">
        <v>0</v>
      </c>
      <c r="J14" s="22">
        <v>0</v>
      </c>
      <c r="K14" s="22">
        <f t="shared" si="4"/>
        <v>11066</v>
      </c>
      <c r="L14" s="22">
        <v>12926</v>
      </c>
      <c r="M14" s="22">
        <f t="shared" si="14"/>
        <v>1860</v>
      </c>
      <c r="N14" s="22">
        <f t="shared" si="15"/>
        <v>1.1680824146032893</v>
      </c>
      <c r="O14" s="22">
        <v>0</v>
      </c>
      <c r="P14" s="22">
        <f t="shared" si="16"/>
        <v>12926</v>
      </c>
      <c r="Q14" s="22">
        <v>0</v>
      </c>
      <c r="R14" s="22">
        <v>0</v>
      </c>
      <c r="S14" s="22">
        <f t="shared" si="17"/>
        <v>12926</v>
      </c>
      <c r="T14" s="22">
        <v>100</v>
      </c>
      <c r="U14" s="22">
        <v>0</v>
      </c>
      <c r="V14" s="22">
        <v>0</v>
      </c>
      <c r="W14" s="22">
        <f t="shared" si="7"/>
        <v>13026</v>
      </c>
      <c r="X14" s="22">
        <v>0</v>
      </c>
      <c r="Y14" s="23">
        <v>0</v>
      </c>
      <c r="Z14" s="140">
        <f t="shared" si="2"/>
        <v>13026</v>
      </c>
      <c r="AA14" s="140">
        <v>0</v>
      </c>
      <c r="AB14" s="140">
        <v>0</v>
      </c>
      <c r="AC14" s="140">
        <v>0</v>
      </c>
      <c r="AD14" s="127">
        <f t="shared" si="8"/>
        <v>13026</v>
      </c>
    </row>
    <row r="15" spans="1:30" ht="26.25" customHeight="1" x14ac:dyDescent="0.25">
      <c r="A15" s="20" t="s">
        <v>45</v>
      </c>
      <c r="B15" s="21"/>
      <c r="C15" s="40">
        <v>0</v>
      </c>
      <c r="D15" s="40">
        <v>0</v>
      </c>
      <c r="E15" s="40">
        <f t="shared" si="12"/>
        <v>0</v>
      </c>
      <c r="F15" s="40">
        <v>0</v>
      </c>
      <c r="G15" s="40">
        <v>0</v>
      </c>
      <c r="H15" s="22">
        <f t="shared" si="13"/>
        <v>0</v>
      </c>
      <c r="I15" s="22">
        <v>0</v>
      </c>
      <c r="J15" s="22">
        <v>0</v>
      </c>
      <c r="K15" s="22">
        <f t="shared" si="4"/>
        <v>0</v>
      </c>
      <c r="L15" s="22">
        <v>2450</v>
      </c>
      <c r="M15" s="22">
        <f t="shared" si="14"/>
        <v>2450</v>
      </c>
      <c r="N15" s="22" t="s">
        <v>46</v>
      </c>
      <c r="O15" s="22">
        <v>0</v>
      </c>
      <c r="P15" s="22">
        <f t="shared" si="16"/>
        <v>2450</v>
      </c>
      <c r="Q15" s="22">
        <v>0</v>
      </c>
      <c r="R15" s="22">
        <v>0</v>
      </c>
      <c r="S15" s="22">
        <f t="shared" si="17"/>
        <v>2450</v>
      </c>
      <c r="T15" s="22">
        <v>0</v>
      </c>
      <c r="U15" s="22">
        <v>0</v>
      </c>
      <c r="V15" s="22">
        <v>0</v>
      </c>
      <c r="W15" s="22">
        <f t="shared" si="7"/>
        <v>2450</v>
      </c>
      <c r="X15" s="22">
        <v>0</v>
      </c>
      <c r="Y15" s="23">
        <v>0</v>
      </c>
      <c r="Z15" s="140">
        <f t="shared" si="2"/>
        <v>2450</v>
      </c>
      <c r="AA15" s="140">
        <v>0</v>
      </c>
      <c r="AB15" s="140">
        <f>-2450</f>
        <v>-2450</v>
      </c>
      <c r="AC15" s="140">
        <v>0</v>
      </c>
      <c r="AD15" s="127">
        <f>SUM(Z15:AC15)</f>
        <v>0</v>
      </c>
    </row>
    <row r="16" spans="1:30" ht="24" customHeight="1" x14ac:dyDescent="0.25">
      <c r="A16" s="20" t="s">
        <v>47</v>
      </c>
      <c r="B16" s="21"/>
      <c r="C16" s="40">
        <v>0</v>
      </c>
      <c r="D16" s="40">
        <v>0</v>
      </c>
      <c r="E16" s="40">
        <f t="shared" si="12"/>
        <v>0</v>
      </c>
      <c r="F16" s="40">
        <v>0</v>
      </c>
      <c r="G16" s="40">
        <v>0</v>
      </c>
      <c r="H16" s="22">
        <f t="shared" si="13"/>
        <v>0</v>
      </c>
      <c r="I16" s="22">
        <v>0</v>
      </c>
      <c r="J16" s="22">
        <v>0</v>
      </c>
      <c r="K16" s="22">
        <f t="shared" si="4"/>
        <v>0</v>
      </c>
      <c r="L16" s="22">
        <v>0</v>
      </c>
      <c r="M16" s="22">
        <f t="shared" si="14"/>
        <v>0</v>
      </c>
      <c r="N16" s="22" t="s">
        <v>46</v>
      </c>
      <c r="O16" s="22">
        <v>0</v>
      </c>
      <c r="P16" s="22">
        <f t="shared" si="16"/>
        <v>0</v>
      </c>
      <c r="Q16" s="22">
        <v>0</v>
      </c>
      <c r="R16" s="22">
        <v>0</v>
      </c>
      <c r="S16" s="22">
        <f t="shared" si="17"/>
        <v>0</v>
      </c>
      <c r="T16" s="22">
        <v>0</v>
      </c>
      <c r="U16" s="22">
        <v>0</v>
      </c>
      <c r="V16" s="22">
        <v>0</v>
      </c>
      <c r="W16" s="22">
        <f t="shared" si="7"/>
        <v>0</v>
      </c>
      <c r="X16" s="22">
        <v>0</v>
      </c>
      <c r="Y16" s="23">
        <v>0</v>
      </c>
      <c r="Z16" s="140">
        <f>SUM(W16:Y16)</f>
        <v>0</v>
      </c>
      <c r="AA16" s="140">
        <v>0</v>
      </c>
      <c r="AB16" s="140">
        <v>0</v>
      </c>
      <c r="AC16" s="140">
        <v>0</v>
      </c>
      <c r="AD16" s="127">
        <f t="shared" si="8"/>
        <v>0</v>
      </c>
    </row>
    <row r="17" spans="1:30" ht="14.25" customHeight="1" x14ac:dyDescent="0.25">
      <c r="A17" s="41" t="s">
        <v>48</v>
      </c>
      <c r="B17" s="21"/>
      <c r="C17" s="40">
        <v>0</v>
      </c>
      <c r="D17" s="40"/>
      <c r="E17" s="40"/>
      <c r="F17" s="40"/>
      <c r="G17" s="40"/>
      <c r="H17" s="22"/>
      <c r="I17" s="22"/>
      <c r="J17" s="22"/>
      <c r="K17" s="22">
        <v>0</v>
      </c>
      <c r="L17" s="22">
        <v>15488</v>
      </c>
      <c r="M17" s="22">
        <f t="shared" si="14"/>
        <v>15488</v>
      </c>
      <c r="N17" s="22" t="s">
        <v>46</v>
      </c>
      <c r="O17" s="22">
        <v>0</v>
      </c>
      <c r="P17" s="22">
        <f t="shared" si="16"/>
        <v>15488</v>
      </c>
      <c r="Q17" s="22">
        <v>0</v>
      </c>
      <c r="R17" s="22">
        <v>0</v>
      </c>
      <c r="S17" s="22">
        <f>SUM(P17:R17)</f>
        <v>15488</v>
      </c>
      <c r="T17" s="22">
        <v>0</v>
      </c>
      <c r="U17" s="22">
        <v>0</v>
      </c>
      <c r="V17" s="22">
        <v>0</v>
      </c>
      <c r="W17" s="22">
        <f t="shared" si="7"/>
        <v>15488</v>
      </c>
      <c r="X17" s="22">
        <v>0</v>
      </c>
      <c r="Y17" s="23">
        <v>0</v>
      </c>
      <c r="Z17" s="140">
        <f t="shared" si="2"/>
        <v>15488</v>
      </c>
      <c r="AA17" s="140">
        <v>0</v>
      </c>
      <c r="AB17" s="140">
        <v>0</v>
      </c>
      <c r="AC17" s="140">
        <v>0</v>
      </c>
      <c r="AD17" s="127">
        <f t="shared" si="8"/>
        <v>15488</v>
      </c>
    </row>
    <row r="18" spans="1:30" ht="15" customHeight="1" thickBot="1" x14ac:dyDescent="0.3">
      <c r="A18" s="24" t="s">
        <v>49</v>
      </c>
      <c r="B18" s="25"/>
      <c r="C18" s="26">
        <v>142212</v>
      </c>
      <c r="D18" s="26">
        <v>0</v>
      </c>
      <c r="E18" s="26">
        <f t="shared" si="12"/>
        <v>142212</v>
      </c>
      <c r="F18" s="26">
        <v>0</v>
      </c>
      <c r="G18" s="26">
        <v>0</v>
      </c>
      <c r="H18" s="26">
        <f t="shared" si="13"/>
        <v>142212</v>
      </c>
      <c r="I18" s="26">
        <v>-16953</v>
      </c>
      <c r="J18" s="26">
        <v>0</v>
      </c>
      <c r="K18" s="26">
        <f t="shared" si="4"/>
        <v>125259</v>
      </c>
      <c r="L18" s="26">
        <v>0</v>
      </c>
      <c r="M18" s="26">
        <f t="shared" si="14"/>
        <v>-125259</v>
      </c>
      <c r="N18" s="26">
        <f t="shared" si="15"/>
        <v>0</v>
      </c>
      <c r="O18" s="26">
        <v>0</v>
      </c>
      <c r="P18" s="26">
        <f t="shared" si="16"/>
        <v>0</v>
      </c>
      <c r="Q18" s="26">
        <v>0</v>
      </c>
      <c r="R18" s="26">
        <v>0</v>
      </c>
      <c r="S18" s="26">
        <f>SUM(P18:R18)</f>
        <v>0</v>
      </c>
      <c r="T18" s="26">
        <v>0</v>
      </c>
      <c r="U18" s="26">
        <v>0</v>
      </c>
      <c r="V18" s="26">
        <v>0</v>
      </c>
      <c r="W18" s="26">
        <f t="shared" si="7"/>
        <v>0</v>
      </c>
      <c r="X18" s="26">
        <v>0</v>
      </c>
      <c r="Y18" s="27">
        <v>0</v>
      </c>
      <c r="Z18" s="141">
        <f t="shared" si="2"/>
        <v>0</v>
      </c>
      <c r="AA18" s="141">
        <v>0</v>
      </c>
      <c r="AB18" s="141">
        <f>82741</f>
        <v>82741</v>
      </c>
      <c r="AC18" s="141">
        <v>0</v>
      </c>
      <c r="AD18" s="128">
        <f t="shared" si="8"/>
        <v>82741</v>
      </c>
    </row>
    <row r="19" spans="1:30" ht="29.25" customHeight="1" thickBot="1" x14ac:dyDescent="0.3">
      <c r="A19" s="36" t="s">
        <v>50</v>
      </c>
      <c r="B19" s="42"/>
      <c r="C19" s="43">
        <f>SUM(C12:C18)</f>
        <v>423409.22</v>
      </c>
      <c r="D19" s="43">
        <f>SUM(D12:D18)</f>
        <v>1276.95</v>
      </c>
      <c r="E19" s="43">
        <f>SUM(C19:D19)</f>
        <v>424686.17</v>
      </c>
      <c r="F19" s="43">
        <f>SUM(F12:F18)</f>
        <v>213977.91</v>
      </c>
      <c r="G19" s="43">
        <f>SUM(G12:G18)</f>
        <v>0</v>
      </c>
      <c r="H19" s="43">
        <f>SUM(H12:H18)</f>
        <v>638664.08000000007</v>
      </c>
      <c r="I19" s="43">
        <f>SUM(I12:I18)</f>
        <v>-16953</v>
      </c>
      <c r="J19" s="43">
        <f>SUM(J12:J18)</f>
        <v>0</v>
      </c>
      <c r="K19" s="43">
        <f t="shared" si="4"/>
        <v>621711.08000000007</v>
      </c>
      <c r="L19" s="43">
        <f>SUM(L12:L18)</f>
        <v>418578.15</v>
      </c>
      <c r="M19" s="43">
        <f>SUM(M12:M18)</f>
        <v>-203132.93000000002</v>
      </c>
      <c r="N19" s="43">
        <f>L19/K19</f>
        <v>0.67326795912982595</v>
      </c>
      <c r="O19" s="43">
        <f t="shared" ref="O19:Y19" si="18">SUM(O12:O18)</f>
        <v>2192.64</v>
      </c>
      <c r="P19" s="43">
        <f t="shared" si="18"/>
        <v>420770.79000000004</v>
      </c>
      <c r="Q19" s="43">
        <f t="shared" si="18"/>
        <v>197998.75</v>
      </c>
      <c r="R19" s="43">
        <f t="shared" si="18"/>
        <v>0</v>
      </c>
      <c r="S19" s="43">
        <f t="shared" si="18"/>
        <v>618769.54</v>
      </c>
      <c r="T19" s="43">
        <f t="shared" si="18"/>
        <v>100</v>
      </c>
      <c r="U19" s="43">
        <f t="shared" si="18"/>
        <v>0</v>
      </c>
      <c r="V19" s="43">
        <f t="shared" si="18"/>
        <v>0</v>
      </c>
      <c r="W19" s="43">
        <f t="shared" si="18"/>
        <v>618869.54</v>
      </c>
      <c r="X19" s="43">
        <f t="shared" si="18"/>
        <v>0</v>
      </c>
      <c r="Y19" s="44">
        <f t="shared" si="18"/>
        <v>0</v>
      </c>
      <c r="Z19" s="43">
        <f t="shared" si="2"/>
        <v>618869.54</v>
      </c>
      <c r="AA19" s="43">
        <f>SUM(AA12:AA18)</f>
        <v>0</v>
      </c>
      <c r="AB19" s="43">
        <f>SUM(AB12:AB18)</f>
        <v>80291</v>
      </c>
      <c r="AC19" s="43">
        <f>SUM(AC12:AC18)</f>
        <v>0</v>
      </c>
      <c r="AD19" s="131">
        <f>SUM(Z19:AC19)</f>
        <v>699160.54</v>
      </c>
    </row>
    <row r="20" spans="1:30" ht="17.25" customHeight="1" thickBot="1" x14ac:dyDescent="0.3">
      <c r="A20" s="45" t="s">
        <v>51</v>
      </c>
      <c r="B20" s="186"/>
      <c r="C20" s="46">
        <f>SUM(C9+C19)</f>
        <v>1674504.85</v>
      </c>
      <c r="D20" s="46">
        <f>SUM(D9+D19)</f>
        <v>9468.9800000000014</v>
      </c>
      <c r="E20" s="46">
        <f>SUM(C20:D20)</f>
        <v>1683973.83</v>
      </c>
      <c r="F20" s="46">
        <f>F9+F19</f>
        <v>216501.92</v>
      </c>
      <c r="G20" s="46">
        <f>SUM(G9+G19)</f>
        <v>67728.3</v>
      </c>
      <c r="H20" s="46">
        <f>H9+H19</f>
        <v>1973565.59</v>
      </c>
      <c r="I20" s="46">
        <f>I9+I19</f>
        <v>48383.710000000006</v>
      </c>
      <c r="J20" s="46">
        <f>SUM(J9+J19)</f>
        <v>9390.5499999999993</v>
      </c>
      <c r="K20" s="46">
        <f t="shared" si="4"/>
        <v>2031339.85</v>
      </c>
      <c r="L20" s="46">
        <f>SUM(L9+L19)</f>
        <v>1926988.1</v>
      </c>
      <c r="M20" s="46">
        <f>SUM(M9+M19)</f>
        <v>-104351.75</v>
      </c>
      <c r="N20" s="46">
        <f>L20/K20</f>
        <v>0.94862910310158099</v>
      </c>
      <c r="O20" s="46">
        <f>SUM(O9+O19)</f>
        <v>11224.509999999998</v>
      </c>
      <c r="P20" s="46">
        <f>SUM(P9+P19)</f>
        <v>1938215.4500000002</v>
      </c>
      <c r="Q20" s="46">
        <f>SUM(Q9+Q19)</f>
        <v>205314.36</v>
      </c>
      <c r="R20" s="46">
        <f>SUM(R9+R19)</f>
        <v>62143.86</v>
      </c>
      <c r="S20" s="46">
        <f>SUM(S9+S19)</f>
        <v>2225852.62</v>
      </c>
      <c r="T20" s="46">
        <f>T9+T19</f>
        <v>22238.02</v>
      </c>
      <c r="U20" s="46">
        <f>SUM(U9+U19)</f>
        <v>0</v>
      </c>
      <c r="V20" s="46">
        <f>SUM(V9+V19)</f>
        <v>8074.2999999999993</v>
      </c>
      <c r="W20" s="46">
        <f>SUM(W9+W19)</f>
        <v>2261383.89</v>
      </c>
      <c r="X20" s="46">
        <f>SUM(X9+X19)</f>
        <v>18087.060000000001</v>
      </c>
      <c r="Y20" s="47">
        <f>SUM(Y9+Y19)</f>
        <v>19872.48</v>
      </c>
      <c r="Z20" s="187">
        <f>SUM(W20:Y20)</f>
        <v>2299343.4300000002</v>
      </c>
      <c r="AA20" s="187">
        <f>SUM(AA9+AA19)</f>
        <v>2632.74</v>
      </c>
      <c r="AB20" s="187">
        <f>SUM(AB9+AB19)</f>
        <v>175729.16999999998</v>
      </c>
      <c r="AC20" s="187">
        <f>SUM(AC9+AC19)</f>
        <v>607.29999999999995</v>
      </c>
      <c r="AD20" s="188">
        <f t="shared" si="8"/>
        <v>2478312.64</v>
      </c>
    </row>
    <row r="21" spans="1:30" ht="13.5" customHeight="1" thickBot="1" x14ac:dyDescent="0.3">
      <c r="A21" s="32"/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5"/>
      <c r="Z21" s="141"/>
      <c r="AA21" s="141"/>
      <c r="AB21" s="141"/>
      <c r="AC21" s="141"/>
      <c r="AD21" s="128"/>
    </row>
    <row r="22" spans="1:30" ht="14.25" customHeight="1" thickBot="1" x14ac:dyDescent="0.3">
      <c r="A22" s="48" t="s">
        <v>52</v>
      </c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1"/>
      <c r="Z22" s="143"/>
      <c r="AA22" s="143"/>
      <c r="AB22" s="143"/>
      <c r="AC22" s="143"/>
      <c r="AD22" s="132"/>
    </row>
    <row r="23" spans="1:30" ht="16.350000000000001" customHeight="1" thickBot="1" x14ac:dyDescent="0.3">
      <c r="A23" s="52" t="s">
        <v>53</v>
      </c>
      <c r="B23" s="53"/>
      <c r="C23" s="54" t="e">
        <f>SUM(#REF!)</f>
        <v>#REF!</v>
      </c>
      <c r="D23" s="54" t="e">
        <f>SUM(#REF!)</f>
        <v>#REF!</v>
      </c>
      <c r="E23" s="54" t="e">
        <f>SUM(C23:D23)</f>
        <v>#REF!</v>
      </c>
      <c r="F23" s="54" t="e">
        <f>SUM(#REF!)</f>
        <v>#REF!</v>
      </c>
      <c r="G23" s="54" t="e">
        <f>SUM(#REF!)</f>
        <v>#REF!</v>
      </c>
      <c r="H23" s="54" t="e">
        <f>SUM(#REF!)</f>
        <v>#REF!</v>
      </c>
      <c r="I23" s="54" t="e">
        <f>SUM(#REF!)</f>
        <v>#REF!</v>
      </c>
      <c r="J23" s="54" t="e">
        <f>SUM(#REF!)</f>
        <v>#REF!</v>
      </c>
      <c r="K23" s="54" t="e">
        <f t="shared" si="4"/>
        <v>#REF!</v>
      </c>
      <c r="L23" s="54">
        <f>SUM(L28:L44)</f>
        <v>7373</v>
      </c>
      <c r="M23" s="54" t="e">
        <f>SUM(#REF!)</f>
        <v>#REF!</v>
      </c>
      <c r="N23" s="54" t="e">
        <f>L23/K23</f>
        <v>#REF!</v>
      </c>
      <c r="O23" s="54">
        <f>SUM(O28:O39)</f>
        <v>130</v>
      </c>
      <c r="P23" s="54">
        <f>SUM(P28:P44)</f>
        <v>7373</v>
      </c>
      <c r="Q23" s="54">
        <f>SUM(Q28:Q44)</f>
        <v>119</v>
      </c>
      <c r="R23" s="54">
        <f>SUM(R28:R44)</f>
        <v>0</v>
      </c>
      <c r="S23" s="54">
        <f t="shared" ref="S23:X23" si="19">SUM(S26:S44)</f>
        <v>7492</v>
      </c>
      <c r="T23" s="54">
        <f t="shared" si="19"/>
        <v>0</v>
      </c>
      <c r="U23" s="54">
        <f t="shared" si="19"/>
        <v>0</v>
      </c>
      <c r="V23" s="54">
        <f t="shared" si="19"/>
        <v>0</v>
      </c>
      <c r="W23" s="54">
        <f t="shared" si="19"/>
        <v>7492</v>
      </c>
      <c r="X23" s="54">
        <f t="shared" si="19"/>
        <v>0</v>
      </c>
      <c r="Y23" s="55">
        <f>SUM(Y25:Y44)</f>
        <v>0</v>
      </c>
      <c r="Z23" s="54">
        <f>SUM(W23:Y23)</f>
        <v>7492</v>
      </c>
      <c r="AA23" s="54">
        <f>SUM(AA25:AA44)</f>
        <v>0</v>
      </c>
      <c r="AB23" s="54">
        <f>SUM(AB25:AB44)</f>
        <v>0</v>
      </c>
      <c r="AC23" s="54">
        <f>SUM(AC25:AC44)</f>
        <v>0</v>
      </c>
      <c r="AD23" s="133">
        <f t="shared" si="8"/>
        <v>7492</v>
      </c>
    </row>
    <row r="24" spans="1:30" x14ac:dyDescent="0.25">
      <c r="A24" s="56" t="s">
        <v>54</v>
      </c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9"/>
      <c r="Z24" s="140"/>
      <c r="AA24" s="140"/>
      <c r="AB24" s="140"/>
      <c r="AC24" s="140"/>
      <c r="AD24" s="127"/>
    </row>
    <row r="25" spans="1:30" ht="38.25" x14ac:dyDescent="0.25">
      <c r="A25" s="56" t="s">
        <v>55</v>
      </c>
      <c r="B25" s="17" t="s">
        <v>56</v>
      </c>
      <c r="C25" s="18"/>
      <c r="D25" s="18"/>
      <c r="E25" s="18"/>
      <c r="F25" s="18"/>
      <c r="G25" s="18"/>
      <c r="H25" s="18"/>
      <c r="I25" s="18"/>
      <c r="J25" s="18"/>
      <c r="K25" s="18"/>
      <c r="L25" s="18">
        <v>0</v>
      </c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>
        <v>0</v>
      </c>
      <c r="X25" s="18">
        <v>0</v>
      </c>
      <c r="Y25" s="19">
        <f>40</f>
        <v>40</v>
      </c>
      <c r="Z25" s="140">
        <f>SUM(W25:Y25)</f>
        <v>40</v>
      </c>
      <c r="AA25" s="140">
        <v>0</v>
      </c>
      <c r="AB25" s="140">
        <v>0</v>
      </c>
      <c r="AC25" s="140">
        <v>0</v>
      </c>
      <c r="AD25" s="127">
        <f t="shared" si="8"/>
        <v>40</v>
      </c>
    </row>
    <row r="26" spans="1:30" ht="25.5" x14ac:dyDescent="0.25">
      <c r="A26" s="57" t="s">
        <v>57</v>
      </c>
      <c r="B26" s="21" t="s">
        <v>58</v>
      </c>
      <c r="C26" s="22"/>
      <c r="D26" s="22"/>
      <c r="E26" s="22"/>
      <c r="F26" s="22"/>
      <c r="G26" s="22"/>
      <c r="H26" s="22"/>
      <c r="I26" s="22"/>
      <c r="J26" s="22"/>
      <c r="K26" s="22"/>
      <c r="L26" s="22">
        <v>0</v>
      </c>
      <c r="M26" s="22"/>
      <c r="N26" s="22"/>
      <c r="O26" s="22"/>
      <c r="P26" s="22"/>
      <c r="Q26" s="22"/>
      <c r="R26" s="22"/>
      <c r="S26" s="22">
        <f>20</f>
        <v>20</v>
      </c>
      <c r="T26" s="22">
        <v>0</v>
      </c>
      <c r="U26" s="22">
        <v>0</v>
      </c>
      <c r="V26" s="22">
        <v>0</v>
      </c>
      <c r="W26" s="22">
        <f t="shared" ref="W26:W106" si="20">SUM(S26:V26)</f>
        <v>20</v>
      </c>
      <c r="X26" s="22">
        <v>0</v>
      </c>
      <c r="Y26" s="23">
        <v>0</v>
      </c>
      <c r="Z26" s="140">
        <f>SUM(W26:Y26)</f>
        <v>20</v>
      </c>
      <c r="AA26" s="140">
        <v>0</v>
      </c>
      <c r="AB26" s="140">
        <v>0</v>
      </c>
      <c r="AC26" s="140">
        <v>0</v>
      </c>
      <c r="AD26" s="127">
        <f t="shared" si="8"/>
        <v>20</v>
      </c>
    </row>
    <row r="27" spans="1:30" ht="48" customHeight="1" x14ac:dyDescent="0.25">
      <c r="A27" s="57" t="s">
        <v>59</v>
      </c>
      <c r="B27" s="21" t="s">
        <v>56</v>
      </c>
      <c r="C27" s="22"/>
      <c r="D27" s="22"/>
      <c r="E27" s="22"/>
      <c r="F27" s="22"/>
      <c r="G27" s="22"/>
      <c r="H27" s="22"/>
      <c r="I27" s="22"/>
      <c r="J27" s="22"/>
      <c r="K27" s="22"/>
      <c r="L27" s="22">
        <v>0</v>
      </c>
      <c r="M27" s="22"/>
      <c r="N27" s="22"/>
      <c r="O27" s="22"/>
      <c r="P27" s="22"/>
      <c r="Q27" s="22"/>
      <c r="R27" s="22"/>
      <c r="S27" s="22">
        <f>15</f>
        <v>15</v>
      </c>
      <c r="T27" s="22">
        <v>0</v>
      </c>
      <c r="U27" s="22">
        <v>0</v>
      </c>
      <c r="V27" s="22">
        <v>0</v>
      </c>
      <c r="W27" s="22">
        <f t="shared" si="20"/>
        <v>15</v>
      </c>
      <c r="X27" s="22">
        <v>0</v>
      </c>
      <c r="Y27" s="23">
        <v>0</v>
      </c>
      <c r="Z27" s="140">
        <f t="shared" si="2"/>
        <v>15</v>
      </c>
      <c r="AA27" s="140">
        <v>0</v>
      </c>
      <c r="AB27" s="140">
        <v>0</v>
      </c>
      <c r="AC27" s="140">
        <v>0</v>
      </c>
      <c r="AD27" s="127">
        <f t="shared" si="8"/>
        <v>15</v>
      </c>
    </row>
    <row r="28" spans="1:30" ht="25.5" customHeight="1" x14ac:dyDescent="0.25">
      <c r="A28" s="57" t="s">
        <v>60</v>
      </c>
      <c r="B28" s="58" t="s">
        <v>61</v>
      </c>
      <c r="C28" s="22"/>
      <c r="D28" s="22"/>
      <c r="E28" s="40"/>
      <c r="F28" s="40"/>
      <c r="G28" s="40"/>
      <c r="H28" s="40"/>
      <c r="I28" s="40"/>
      <c r="J28" s="40"/>
      <c r="K28" s="22"/>
      <c r="L28" s="22">
        <v>0</v>
      </c>
      <c r="M28" s="22"/>
      <c r="N28" s="22"/>
      <c r="O28" s="22">
        <f>50</f>
        <v>50</v>
      </c>
      <c r="P28" s="22">
        <f>SUM(L28:O28)</f>
        <v>50</v>
      </c>
      <c r="Q28" s="22">
        <v>0</v>
      </c>
      <c r="R28" s="22">
        <v>0</v>
      </c>
      <c r="S28" s="22">
        <f>SUM(P28:R28)</f>
        <v>50</v>
      </c>
      <c r="T28" s="22">
        <v>0</v>
      </c>
      <c r="U28" s="22">
        <v>0</v>
      </c>
      <c r="V28" s="22">
        <v>0</v>
      </c>
      <c r="W28" s="22">
        <f>SUM(S28:V28)</f>
        <v>50</v>
      </c>
      <c r="X28" s="22">
        <v>0</v>
      </c>
      <c r="Y28" s="23">
        <v>0</v>
      </c>
      <c r="Z28" s="140">
        <f t="shared" si="2"/>
        <v>50</v>
      </c>
      <c r="AA28" s="140">
        <v>0</v>
      </c>
      <c r="AB28" s="140">
        <v>0</v>
      </c>
      <c r="AC28" s="140">
        <v>0</v>
      </c>
      <c r="AD28" s="127">
        <f t="shared" si="8"/>
        <v>50</v>
      </c>
    </row>
    <row r="29" spans="1:30" ht="39" customHeight="1" x14ac:dyDescent="0.25">
      <c r="A29" s="57" t="s">
        <v>62</v>
      </c>
      <c r="B29" s="58" t="s">
        <v>56</v>
      </c>
      <c r="C29" s="22"/>
      <c r="D29" s="22"/>
      <c r="E29" s="40"/>
      <c r="F29" s="40"/>
      <c r="G29" s="40"/>
      <c r="H29" s="40"/>
      <c r="I29" s="40"/>
      <c r="J29" s="40"/>
      <c r="K29" s="22"/>
      <c r="L29" s="22">
        <v>0</v>
      </c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>
        <f>20</f>
        <v>20</v>
      </c>
      <c r="X29" s="22">
        <v>0</v>
      </c>
      <c r="Y29" s="23">
        <v>0</v>
      </c>
      <c r="Z29" s="140">
        <f t="shared" si="2"/>
        <v>20</v>
      </c>
      <c r="AA29" s="140">
        <v>0</v>
      </c>
      <c r="AB29" s="140">
        <v>0</v>
      </c>
      <c r="AC29" s="140">
        <v>0</v>
      </c>
      <c r="AD29" s="127">
        <f t="shared" si="8"/>
        <v>20</v>
      </c>
    </row>
    <row r="30" spans="1:30" ht="36.75" customHeight="1" x14ac:dyDescent="0.25">
      <c r="A30" s="57" t="s">
        <v>63</v>
      </c>
      <c r="B30" s="58" t="s">
        <v>64</v>
      </c>
      <c r="C30" s="22"/>
      <c r="D30" s="22"/>
      <c r="E30" s="40"/>
      <c r="F30" s="40"/>
      <c r="G30" s="40"/>
      <c r="H30" s="40"/>
      <c r="I30" s="40"/>
      <c r="J30" s="40"/>
      <c r="K30" s="22"/>
      <c r="L30" s="22">
        <v>0</v>
      </c>
      <c r="M30" s="22"/>
      <c r="N30" s="22"/>
      <c r="O30" s="22"/>
      <c r="P30" s="22">
        <v>0</v>
      </c>
      <c r="Q30" s="22">
        <v>0</v>
      </c>
      <c r="R30" s="22">
        <f>10</f>
        <v>10</v>
      </c>
      <c r="S30" s="22">
        <f>SUM(P30:R30)</f>
        <v>10</v>
      </c>
      <c r="T30" s="22">
        <v>0</v>
      </c>
      <c r="U30" s="22">
        <v>0</v>
      </c>
      <c r="V30" s="22">
        <v>0</v>
      </c>
      <c r="W30" s="22">
        <f t="shared" si="20"/>
        <v>10</v>
      </c>
      <c r="X30" s="22">
        <v>0</v>
      </c>
      <c r="Y30" s="23">
        <v>0</v>
      </c>
      <c r="Z30" s="140">
        <f t="shared" si="2"/>
        <v>10</v>
      </c>
      <c r="AA30" s="140">
        <v>0</v>
      </c>
      <c r="AB30" s="140">
        <v>0</v>
      </c>
      <c r="AC30" s="140">
        <v>0</v>
      </c>
      <c r="AD30" s="127">
        <f t="shared" si="8"/>
        <v>10</v>
      </c>
    </row>
    <row r="31" spans="1:30" ht="25.5" customHeight="1" x14ac:dyDescent="0.25">
      <c r="A31" s="57" t="s">
        <v>65</v>
      </c>
      <c r="B31" s="58" t="s">
        <v>64</v>
      </c>
      <c r="C31" s="22"/>
      <c r="D31" s="22"/>
      <c r="E31" s="40"/>
      <c r="F31" s="40"/>
      <c r="G31" s="40"/>
      <c r="H31" s="40"/>
      <c r="I31" s="40"/>
      <c r="J31" s="40"/>
      <c r="K31" s="22"/>
      <c r="L31" s="22">
        <v>0</v>
      </c>
      <c r="M31" s="22"/>
      <c r="N31" s="22"/>
      <c r="O31" s="22"/>
      <c r="P31" s="22">
        <f>50</f>
        <v>50</v>
      </c>
      <c r="Q31" s="22">
        <v>0</v>
      </c>
      <c r="R31" s="22">
        <v>0</v>
      </c>
      <c r="S31" s="22">
        <f>SUM(P31:R31)</f>
        <v>50</v>
      </c>
      <c r="T31" s="22">
        <v>0</v>
      </c>
      <c r="U31" s="22">
        <v>0</v>
      </c>
      <c r="V31" s="22">
        <v>0</v>
      </c>
      <c r="W31" s="22">
        <f t="shared" si="20"/>
        <v>50</v>
      </c>
      <c r="X31" s="22">
        <v>0</v>
      </c>
      <c r="Y31" s="23">
        <v>0</v>
      </c>
      <c r="Z31" s="140">
        <f t="shared" si="2"/>
        <v>50</v>
      </c>
      <c r="AA31" s="140">
        <v>0</v>
      </c>
      <c r="AB31" s="140">
        <v>0</v>
      </c>
      <c r="AC31" s="140">
        <v>0</v>
      </c>
      <c r="AD31" s="127">
        <f t="shared" si="8"/>
        <v>50</v>
      </c>
    </row>
    <row r="32" spans="1:30" ht="39" customHeight="1" x14ac:dyDescent="0.25">
      <c r="A32" s="57" t="s">
        <v>66</v>
      </c>
      <c r="B32" s="58" t="s">
        <v>56</v>
      </c>
      <c r="C32" s="22"/>
      <c r="D32" s="22"/>
      <c r="E32" s="40"/>
      <c r="F32" s="40"/>
      <c r="G32" s="40"/>
      <c r="H32" s="40"/>
      <c r="I32" s="40"/>
      <c r="J32" s="40"/>
      <c r="K32" s="22"/>
      <c r="L32" s="22">
        <v>0</v>
      </c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>
        <f>31.19</f>
        <v>31.19</v>
      </c>
      <c r="X32" s="22">
        <v>0</v>
      </c>
      <c r="Y32" s="23">
        <v>0</v>
      </c>
      <c r="Z32" s="140">
        <f t="shared" si="2"/>
        <v>31.19</v>
      </c>
      <c r="AA32" s="140">
        <v>0</v>
      </c>
      <c r="AB32" s="140">
        <v>0</v>
      </c>
      <c r="AC32" s="140">
        <v>0</v>
      </c>
      <c r="AD32" s="127">
        <f>SUM(Z32:AC32)</f>
        <v>31.19</v>
      </c>
    </row>
    <row r="33" spans="1:30" ht="24" customHeight="1" x14ac:dyDescent="0.25">
      <c r="A33" s="57" t="s">
        <v>67</v>
      </c>
      <c r="B33" s="58" t="s">
        <v>68</v>
      </c>
      <c r="C33" s="22"/>
      <c r="D33" s="22"/>
      <c r="E33" s="40"/>
      <c r="F33" s="40"/>
      <c r="G33" s="40"/>
      <c r="H33" s="40"/>
      <c r="I33" s="40"/>
      <c r="J33" s="40"/>
      <c r="K33" s="22"/>
      <c r="L33" s="22">
        <v>0</v>
      </c>
      <c r="M33" s="22"/>
      <c r="N33" s="22"/>
      <c r="O33" s="22"/>
      <c r="P33" s="22">
        <v>0</v>
      </c>
      <c r="Q33" s="22">
        <v>100</v>
      </c>
      <c r="R33" s="22">
        <v>0</v>
      </c>
      <c r="S33" s="22">
        <f t="shared" ref="S33:S42" si="21">SUM(P33:R33)</f>
        <v>100</v>
      </c>
      <c r="T33" s="22">
        <v>0</v>
      </c>
      <c r="U33" s="22">
        <v>0</v>
      </c>
      <c r="V33" s="22">
        <v>0</v>
      </c>
      <c r="W33" s="22">
        <f t="shared" si="20"/>
        <v>100</v>
      </c>
      <c r="X33" s="22">
        <v>0</v>
      </c>
      <c r="Y33" s="23">
        <v>0</v>
      </c>
      <c r="Z33" s="140">
        <f t="shared" si="2"/>
        <v>100</v>
      </c>
      <c r="AA33" s="140">
        <v>0</v>
      </c>
      <c r="AB33" s="140">
        <v>0</v>
      </c>
      <c r="AC33" s="140">
        <v>0</v>
      </c>
      <c r="AD33" s="127">
        <f t="shared" si="8"/>
        <v>100</v>
      </c>
    </row>
    <row r="34" spans="1:30" ht="27.75" customHeight="1" x14ac:dyDescent="0.25">
      <c r="A34" s="57" t="s">
        <v>69</v>
      </c>
      <c r="B34" s="58" t="s">
        <v>70</v>
      </c>
      <c r="C34" s="22"/>
      <c r="D34" s="22"/>
      <c r="E34" s="40"/>
      <c r="F34" s="40"/>
      <c r="G34" s="40"/>
      <c r="H34" s="40"/>
      <c r="I34" s="40"/>
      <c r="J34" s="40"/>
      <c r="K34" s="22"/>
      <c r="L34" s="22">
        <v>0</v>
      </c>
      <c r="M34" s="22"/>
      <c r="N34" s="22"/>
      <c r="O34" s="22">
        <f>10</f>
        <v>10</v>
      </c>
      <c r="P34" s="22">
        <f>SUM(L34:O34)</f>
        <v>10</v>
      </c>
      <c r="Q34" s="22">
        <v>0</v>
      </c>
      <c r="R34" s="22">
        <v>0</v>
      </c>
      <c r="S34" s="22">
        <f t="shared" si="21"/>
        <v>10</v>
      </c>
      <c r="T34" s="22">
        <v>0</v>
      </c>
      <c r="U34" s="22">
        <v>0</v>
      </c>
      <c r="V34" s="22">
        <v>0</v>
      </c>
      <c r="W34" s="22">
        <f t="shared" si="20"/>
        <v>10</v>
      </c>
      <c r="X34" s="22">
        <v>0</v>
      </c>
      <c r="Y34" s="23">
        <v>0</v>
      </c>
      <c r="Z34" s="140">
        <f t="shared" si="2"/>
        <v>10</v>
      </c>
      <c r="AA34" s="140">
        <f>-0.63</f>
        <v>-0.63</v>
      </c>
      <c r="AB34" s="140">
        <v>0</v>
      </c>
      <c r="AC34" s="140">
        <v>0</v>
      </c>
      <c r="AD34" s="127">
        <f t="shared" si="8"/>
        <v>9.3699999999999992</v>
      </c>
    </row>
    <row r="35" spans="1:30" ht="26.25" customHeight="1" x14ac:dyDescent="0.25">
      <c r="A35" s="57" t="s">
        <v>71</v>
      </c>
      <c r="B35" s="58" t="s">
        <v>58</v>
      </c>
      <c r="C35" s="22"/>
      <c r="D35" s="22"/>
      <c r="E35" s="40"/>
      <c r="F35" s="40"/>
      <c r="G35" s="40"/>
      <c r="H35" s="40"/>
      <c r="I35" s="40"/>
      <c r="J35" s="40"/>
      <c r="K35" s="22"/>
      <c r="L35" s="22">
        <v>0</v>
      </c>
      <c r="M35" s="22"/>
      <c r="N35" s="22"/>
      <c r="O35" s="22"/>
      <c r="P35" s="22">
        <f>30</f>
        <v>30</v>
      </c>
      <c r="Q35" s="22">
        <v>0</v>
      </c>
      <c r="R35" s="22">
        <v>0</v>
      </c>
      <c r="S35" s="22">
        <f t="shared" si="21"/>
        <v>30</v>
      </c>
      <c r="T35" s="22">
        <v>0</v>
      </c>
      <c r="U35" s="22">
        <v>0</v>
      </c>
      <c r="V35" s="22">
        <v>0</v>
      </c>
      <c r="W35" s="22">
        <f t="shared" si="20"/>
        <v>30</v>
      </c>
      <c r="X35" s="22">
        <v>0</v>
      </c>
      <c r="Y35" s="23">
        <v>0</v>
      </c>
      <c r="Z35" s="140">
        <f t="shared" si="2"/>
        <v>30</v>
      </c>
      <c r="AA35" s="140">
        <f>-1.44</f>
        <v>-1.44</v>
      </c>
      <c r="AB35" s="140">
        <v>0</v>
      </c>
      <c r="AC35" s="140">
        <v>0</v>
      </c>
      <c r="AD35" s="127">
        <f t="shared" si="8"/>
        <v>28.56</v>
      </c>
    </row>
    <row r="36" spans="1:30" ht="37.5" customHeight="1" x14ac:dyDescent="0.25">
      <c r="A36" s="57" t="s">
        <v>72</v>
      </c>
      <c r="B36" s="58" t="s">
        <v>73</v>
      </c>
      <c r="C36" s="22"/>
      <c r="D36" s="22"/>
      <c r="E36" s="40"/>
      <c r="F36" s="40"/>
      <c r="G36" s="40"/>
      <c r="H36" s="40"/>
      <c r="I36" s="40"/>
      <c r="J36" s="40"/>
      <c r="K36" s="22"/>
      <c r="L36" s="22">
        <v>0</v>
      </c>
      <c r="M36" s="22"/>
      <c r="N36" s="22"/>
      <c r="O36" s="22"/>
      <c r="P36" s="22">
        <f>20</f>
        <v>20</v>
      </c>
      <c r="Q36" s="22">
        <v>0</v>
      </c>
      <c r="R36" s="22">
        <v>0</v>
      </c>
      <c r="S36" s="22">
        <f>SUM(P36:R36)</f>
        <v>20</v>
      </c>
      <c r="T36" s="22">
        <v>0</v>
      </c>
      <c r="U36" s="22">
        <v>0</v>
      </c>
      <c r="V36" s="22">
        <v>0</v>
      </c>
      <c r="W36" s="22">
        <f t="shared" si="20"/>
        <v>20</v>
      </c>
      <c r="X36" s="22">
        <v>0</v>
      </c>
      <c r="Y36" s="23">
        <v>0</v>
      </c>
      <c r="Z36" s="140">
        <f t="shared" si="2"/>
        <v>20</v>
      </c>
      <c r="AA36" s="140">
        <v>0</v>
      </c>
      <c r="AB36" s="140">
        <v>0</v>
      </c>
      <c r="AC36" s="140">
        <v>0</v>
      </c>
      <c r="AD36" s="127">
        <f t="shared" si="8"/>
        <v>20</v>
      </c>
    </row>
    <row r="37" spans="1:30" ht="36.75" customHeight="1" x14ac:dyDescent="0.25">
      <c r="A37" s="57" t="s">
        <v>74</v>
      </c>
      <c r="B37" s="58" t="s">
        <v>75</v>
      </c>
      <c r="C37" s="22"/>
      <c r="D37" s="22"/>
      <c r="E37" s="40"/>
      <c r="F37" s="40"/>
      <c r="G37" s="40"/>
      <c r="H37" s="40"/>
      <c r="I37" s="40"/>
      <c r="J37" s="40"/>
      <c r="K37" s="22"/>
      <c r="L37" s="22">
        <v>0</v>
      </c>
      <c r="M37" s="22"/>
      <c r="N37" s="22"/>
      <c r="O37" s="22"/>
      <c r="P37" s="22"/>
      <c r="Q37" s="22"/>
      <c r="R37" s="22"/>
      <c r="S37" s="22">
        <f>16</f>
        <v>16</v>
      </c>
      <c r="T37" s="22">
        <v>0</v>
      </c>
      <c r="U37" s="22">
        <v>0</v>
      </c>
      <c r="V37" s="22">
        <v>0</v>
      </c>
      <c r="W37" s="22">
        <f t="shared" si="20"/>
        <v>16</v>
      </c>
      <c r="X37" s="22">
        <v>0</v>
      </c>
      <c r="Y37" s="23">
        <v>0</v>
      </c>
      <c r="Z37" s="140">
        <f t="shared" si="2"/>
        <v>16</v>
      </c>
      <c r="AA37" s="140">
        <v>0</v>
      </c>
      <c r="AB37" s="140">
        <v>0</v>
      </c>
      <c r="AC37" s="140">
        <v>0</v>
      </c>
      <c r="AD37" s="127">
        <f t="shared" si="8"/>
        <v>16</v>
      </c>
    </row>
    <row r="38" spans="1:30" ht="63" customHeight="1" x14ac:dyDescent="0.25">
      <c r="A38" s="57" t="s">
        <v>76</v>
      </c>
      <c r="B38" s="58" t="s">
        <v>75</v>
      </c>
      <c r="C38" s="22"/>
      <c r="D38" s="22"/>
      <c r="E38" s="40"/>
      <c r="F38" s="40"/>
      <c r="G38" s="40"/>
      <c r="H38" s="40"/>
      <c r="I38" s="40"/>
      <c r="J38" s="40"/>
      <c r="K38" s="22"/>
      <c r="L38" s="22">
        <v>0</v>
      </c>
      <c r="M38" s="22"/>
      <c r="N38" s="22"/>
      <c r="O38" s="22">
        <v>40</v>
      </c>
      <c r="P38" s="22">
        <f>SUM(L38:O38)</f>
        <v>40</v>
      </c>
      <c r="Q38" s="22">
        <v>0</v>
      </c>
      <c r="R38" s="22">
        <v>0</v>
      </c>
      <c r="S38" s="22">
        <f t="shared" si="21"/>
        <v>40</v>
      </c>
      <c r="T38" s="22">
        <v>0</v>
      </c>
      <c r="U38" s="22">
        <v>0</v>
      </c>
      <c r="V38" s="22">
        <v>0</v>
      </c>
      <c r="W38" s="22">
        <f t="shared" si="20"/>
        <v>40</v>
      </c>
      <c r="X38" s="22">
        <v>0</v>
      </c>
      <c r="Y38" s="23">
        <v>0</v>
      </c>
      <c r="Z38" s="140">
        <f t="shared" si="2"/>
        <v>40</v>
      </c>
      <c r="AA38" s="140">
        <v>0</v>
      </c>
      <c r="AB38" s="140">
        <v>0</v>
      </c>
      <c r="AC38" s="140">
        <v>0</v>
      </c>
      <c r="AD38" s="127">
        <f t="shared" si="8"/>
        <v>40</v>
      </c>
    </row>
    <row r="39" spans="1:30" ht="38.25" customHeight="1" x14ac:dyDescent="0.25">
      <c r="A39" s="57" t="s">
        <v>77</v>
      </c>
      <c r="B39" s="58" t="s">
        <v>61</v>
      </c>
      <c r="C39" s="22"/>
      <c r="D39" s="22"/>
      <c r="E39" s="40"/>
      <c r="F39" s="40"/>
      <c r="G39" s="40"/>
      <c r="H39" s="40"/>
      <c r="I39" s="40"/>
      <c r="J39" s="40"/>
      <c r="K39" s="22"/>
      <c r="L39" s="22">
        <v>0</v>
      </c>
      <c r="M39" s="22"/>
      <c r="N39" s="22"/>
      <c r="O39" s="22">
        <v>30</v>
      </c>
      <c r="P39" s="22">
        <f>SUM(L39:O39)</f>
        <v>30</v>
      </c>
      <c r="Q39" s="22">
        <v>0</v>
      </c>
      <c r="R39" s="22">
        <v>0</v>
      </c>
      <c r="S39" s="22">
        <f>SUM(P39:R39)</f>
        <v>30</v>
      </c>
      <c r="T39" s="22">
        <v>0</v>
      </c>
      <c r="U39" s="22">
        <v>0</v>
      </c>
      <c r="V39" s="22">
        <v>0</v>
      </c>
      <c r="W39" s="22">
        <f t="shared" si="20"/>
        <v>30</v>
      </c>
      <c r="X39" s="22">
        <v>0</v>
      </c>
      <c r="Y39" s="23">
        <v>0</v>
      </c>
      <c r="Z39" s="140">
        <f t="shared" si="2"/>
        <v>30</v>
      </c>
      <c r="AA39" s="140">
        <v>0</v>
      </c>
      <c r="AB39" s="140">
        <v>0</v>
      </c>
      <c r="AC39" s="140">
        <v>0</v>
      </c>
      <c r="AD39" s="127">
        <f t="shared" si="8"/>
        <v>30</v>
      </c>
    </row>
    <row r="40" spans="1:30" ht="60.75" customHeight="1" x14ac:dyDescent="0.25">
      <c r="A40" s="57" t="s">
        <v>78</v>
      </c>
      <c r="B40" s="58" t="s">
        <v>75</v>
      </c>
      <c r="C40" s="22"/>
      <c r="D40" s="22"/>
      <c r="E40" s="40"/>
      <c r="F40" s="40"/>
      <c r="G40" s="40"/>
      <c r="H40" s="40"/>
      <c r="I40" s="40"/>
      <c r="J40" s="40"/>
      <c r="K40" s="22"/>
      <c r="L40" s="22">
        <v>0</v>
      </c>
      <c r="M40" s="22"/>
      <c r="N40" s="22"/>
      <c r="O40" s="22"/>
      <c r="P40" s="22"/>
      <c r="Q40" s="22"/>
      <c r="R40" s="22"/>
      <c r="S40" s="22">
        <v>0</v>
      </c>
      <c r="T40" s="22">
        <v>100</v>
      </c>
      <c r="U40" s="22">
        <v>0</v>
      </c>
      <c r="V40" s="22">
        <v>0</v>
      </c>
      <c r="W40" s="22">
        <f t="shared" si="20"/>
        <v>100</v>
      </c>
      <c r="X40" s="22">
        <v>0</v>
      </c>
      <c r="Y40" s="23">
        <v>0</v>
      </c>
      <c r="Z40" s="140">
        <f t="shared" si="2"/>
        <v>100</v>
      </c>
      <c r="AA40" s="140">
        <v>0</v>
      </c>
      <c r="AB40" s="140">
        <v>0</v>
      </c>
      <c r="AC40" s="140">
        <v>0</v>
      </c>
      <c r="AD40" s="127">
        <f t="shared" si="8"/>
        <v>100</v>
      </c>
    </row>
    <row r="41" spans="1:30" ht="25.5" customHeight="1" x14ac:dyDescent="0.25">
      <c r="A41" s="57" t="s">
        <v>79</v>
      </c>
      <c r="B41" s="58" t="s">
        <v>80</v>
      </c>
      <c r="C41" s="22"/>
      <c r="D41" s="22"/>
      <c r="E41" s="40"/>
      <c r="F41" s="40"/>
      <c r="G41" s="40"/>
      <c r="H41" s="40"/>
      <c r="I41" s="40"/>
      <c r="J41" s="40"/>
      <c r="K41" s="22"/>
      <c r="L41" s="22">
        <v>0</v>
      </c>
      <c r="M41" s="22"/>
      <c r="N41" s="22"/>
      <c r="O41" s="22"/>
      <c r="P41" s="22">
        <v>0</v>
      </c>
      <c r="Q41" s="22">
        <v>0</v>
      </c>
      <c r="R41" s="22">
        <f>50</f>
        <v>50</v>
      </c>
      <c r="S41" s="22">
        <f>SUM(P41:R41)</f>
        <v>50</v>
      </c>
      <c r="T41" s="22">
        <v>0</v>
      </c>
      <c r="U41" s="22">
        <v>0</v>
      </c>
      <c r="V41" s="22">
        <v>0</v>
      </c>
      <c r="W41" s="22">
        <f t="shared" si="20"/>
        <v>50</v>
      </c>
      <c r="X41" s="22">
        <v>0</v>
      </c>
      <c r="Y41" s="23">
        <v>0</v>
      </c>
      <c r="Z41" s="140">
        <f t="shared" si="2"/>
        <v>50</v>
      </c>
      <c r="AA41" s="140">
        <v>0</v>
      </c>
      <c r="AB41" s="140">
        <v>0</v>
      </c>
      <c r="AC41" s="140">
        <v>0</v>
      </c>
      <c r="AD41" s="127">
        <f t="shared" si="8"/>
        <v>50</v>
      </c>
    </row>
    <row r="42" spans="1:30" ht="25.5" customHeight="1" x14ac:dyDescent="0.25">
      <c r="A42" s="57" t="s">
        <v>81</v>
      </c>
      <c r="B42" s="58" t="s">
        <v>73</v>
      </c>
      <c r="C42" s="22"/>
      <c r="D42" s="22"/>
      <c r="E42" s="40"/>
      <c r="F42" s="40"/>
      <c r="G42" s="40"/>
      <c r="H42" s="40"/>
      <c r="I42" s="40"/>
      <c r="J42" s="40"/>
      <c r="K42" s="22"/>
      <c r="L42" s="22">
        <v>0</v>
      </c>
      <c r="M42" s="22"/>
      <c r="N42" s="22"/>
      <c r="O42" s="22"/>
      <c r="P42" s="22">
        <v>0</v>
      </c>
      <c r="Q42" s="22">
        <v>80</v>
      </c>
      <c r="R42" s="22">
        <v>0</v>
      </c>
      <c r="S42" s="22">
        <f t="shared" si="21"/>
        <v>80</v>
      </c>
      <c r="T42" s="22">
        <v>0</v>
      </c>
      <c r="U42" s="22">
        <v>0</v>
      </c>
      <c r="V42" s="22">
        <v>0</v>
      </c>
      <c r="W42" s="22">
        <f t="shared" si="20"/>
        <v>80</v>
      </c>
      <c r="X42" s="22">
        <v>0</v>
      </c>
      <c r="Y42" s="23">
        <v>0</v>
      </c>
      <c r="Z42" s="140">
        <f t="shared" si="2"/>
        <v>80</v>
      </c>
      <c r="AA42" s="140">
        <v>0</v>
      </c>
      <c r="AB42" s="140">
        <v>0</v>
      </c>
      <c r="AC42" s="140">
        <v>0</v>
      </c>
      <c r="AD42" s="127">
        <f t="shared" si="8"/>
        <v>80</v>
      </c>
    </row>
    <row r="43" spans="1:30" ht="33" customHeight="1" x14ac:dyDescent="0.25">
      <c r="A43" s="57" t="s">
        <v>82</v>
      </c>
      <c r="B43" s="58" t="s">
        <v>83</v>
      </c>
      <c r="C43" s="22"/>
      <c r="D43" s="22"/>
      <c r="E43" s="40"/>
      <c r="F43" s="40"/>
      <c r="G43" s="40"/>
      <c r="H43" s="40"/>
      <c r="I43" s="40"/>
      <c r="J43" s="40"/>
      <c r="K43" s="22"/>
      <c r="L43" s="22">
        <v>0</v>
      </c>
      <c r="M43" s="22"/>
      <c r="N43" s="22"/>
      <c r="O43" s="22"/>
      <c r="P43" s="22">
        <v>0</v>
      </c>
      <c r="Q43" s="22">
        <v>0</v>
      </c>
      <c r="R43" s="22">
        <f>5</f>
        <v>5</v>
      </c>
      <c r="S43" s="22">
        <f>SUM(P43:R43)</f>
        <v>5</v>
      </c>
      <c r="T43" s="22">
        <v>0</v>
      </c>
      <c r="U43" s="22">
        <v>0</v>
      </c>
      <c r="V43" s="22">
        <v>0</v>
      </c>
      <c r="W43" s="22">
        <f t="shared" si="20"/>
        <v>5</v>
      </c>
      <c r="X43" s="22">
        <v>0</v>
      </c>
      <c r="Y43" s="23">
        <v>0</v>
      </c>
      <c r="Z43" s="140">
        <f t="shared" si="2"/>
        <v>5</v>
      </c>
      <c r="AA43" s="140">
        <v>0</v>
      </c>
      <c r="AB43" s="140">
        <v>0</v>
      </c>
      <c r="AC43" s="140">
        <v>0</v>
      </c>
      <c r="AD43" s="127">
        <f t="shared" si="8"/>
        <v>5</v>
      </c>
    </row>
    <row r="44" spans="1:30" ht="24" customHeight="1" thickBot="1" x14ac:dyDescent="0.3">
      <c r="A44" s="59" t="s">
        <v>84</v>
      </c>
      <c r="B44" s="60"/>
      <c r="C44" s="26">
        <v>6475</v>
      </c>
      <c r="D44" s="26">
        <f>-40-100</f>
        <v>-140</v>
      </c>
      <c r="E44" s="61">
        <f>SUM(C44:D44)-65</f>
        <v>6270</v>
      </c>
      <c r="F44" s="61">
        <v>-60</v>
      </c>
      <c r="G44" s="61">
        <f>-155-50-70-50</f>
        <v>-325</v>
      </c>
      <c r="H44" s="61">
        <f>SUM(E44:G44)</f>
        <v>5885</v>
      </c>
      <c r="I44" s="61">
        <f>-100-88</f>
        <v>-188</v>
      </c>
      <c r="J44" s="61">
        <f>-11-14-40-12.1-24.5</f>
        <v>-101.6</v>
      </c>
      <c r="K44" s="26">
        <f t="shared" ref="K44" si="22">SUM(H44:J44)</f>
        <v>5595.4</v>
      </c>
      <c r="L44" s="26">
        <v>7373</v>
      </c>
      <c r="M44" s="26">
        <f t="shared" ref="M44" si="23">L44-K44</f>
        <v>1777.6000000000004</v>
      </c>
      <c r="N44" s="26">
        <f>L44/K44</f>
        <v>1.3176895306859207</v>
      </c>
      <c r="O44" s="26">
        <f>-60-70</f>
        <v>-130</v>
      </c>
      <c r="P44" s="26">
        <f>L44+O44-100</f>
        <v>7143</v>
      </c>
      <c r="Q44" s="26">
        <v>-61</v>
      </c>
      <c r="R44" s="26">
        <f>-5-10-50</f>
        <v>-65</v>
      </c>
      <c r="S44" s="26">
        <f>SUM(P44:R44)-35-16</f>
        <v>6966</v>
      </c>
      <c r="T44" s="26">
        <v>-100</v>
      </c>
      <c r="U44" s="26">
        <v>0</v>
      </c>
      <c r="V44" s="26">
        <v>0</v>
      </c>
      <c r="W44" s="26">
        <f>SUM(S44:V44)-51.19</f>
        <v>6814.81</v>
      </c>
      <c r="X44" s="26">
        <v>0</v>
      </c>
      <c r="Y44" s="27">
        <f>-40</f>
        <v>-40</v>
      </c>
      <c r="Z44" s="141">
        <f t="shared" si="2"/>
        <v>6774.81</v>
      </c>
      <c r="AA44" s="141">
        <f>2.07</f>
        <v>2.0699999999999998</v>
      </c>
      <c r="AB44" s="141">
        <v>0</v>
      </c>
      <c r="AC44" s="141">
        <v>0</v>
      </c>
      <c r="AD44" s="128">
        <f t="shared" si="8"/>
        <v>6776.88</v>
      </c>
    </row>
    <row r="45" spans="1:30" ht="18.75" customHeight="1" thickBot="1" x14ac:dyDescent="0.3">
      <c r="A45" s="62" t="s">
        <v>85</v>
      </c>
      <c r="B45" s="63"/>
      <c r="C45" s="54">
        <f>SUM(C47:C50)</f>
        <v>288995</v>
      </c>
      <c r="D45" s="54">
        <f>SUM(D47:D50)</f>
        <v>5.5</v>
      </c>
      <c r="E45" s="54">
        <f>SUM(C45:D45)</f>
        <v>289000.5</v>
      </c>
      <c r="F45" s="54">
        <f>SUM(F47:F50)</f>
        <v>45.6</v>
      </c>
      <c r="G45" s="54">
        <f>SUM(G47:G50)</f>
        <v>18638.97</v>
      </c>
      <c r="H45" s="54">
        <f>SUM(H47:H50)</f>
        <v>312081.31000000006</v>
      </c>
      <c r="I45" s="54">
        <f>SUM(I47:I50)</f>
        <v>10.7</v>
      </c>
      <c r="J45" s="54">
        <f>SUM(J47:J50)</f>
        <v>1234.5</v>
      </c>
      <c r="K45" s="54">
        <f t="shared" si="4"/>
        <v>313326.51000000007</v>
      </c>
      <c r="L45" s="54">
        <f>SUM(L47:L50)</f>
        <v>318023.71999999997</v>
      </c>
      <c r="M45" s="54">
        <f>SUM(M47:M50)</f>
        <v>4697.2099999999518</v>
      </c>
      <c r="N45" s="54">
        <f>L45/K45</f>
        <v>1.0149914222068215</v>
      </c>
      <c r="O45" s="54">
        <f t="shared" ref="O45:T45" si="24">SUM(O47:O50)</f>
        <v>2115.1999999999998</v>
      </c>
      <c r="P45" s="54">
        <f t="shared" si="24"/>
        <v>320138.92</v>
      </c>
      <c r="Q45" s="54">
        <f t="shared" si="24"/>
        <v>0</v>
      </c>
      <c r="R45" s="54">
        <f t="shared" si="24"/>
        <v>4250.33</v>
      </c>
      <c r="S45" s="54">
        <f t="shared" si="24"/>
        <v>344346.44999999995</v>
      </c>
      <c r="T45" s="54">
        <f t="shared" si="24"/>
        <v>100</v>
      </c>
      <c r="U45" s="54">
        <f>SUM(U47:U50)</f>
        <v>0</v>
      </c>
      <c r="V45" s="54">
        <f>SUM(V47:V50)</f>
        <v>1369.4</v>
      </c>
      <c r="W45" s="54">
        <f>SUM(W47:W50)</f>
        <v>345917.47</v>
      </c>
      <c r="X45" s="54">
        <f>SUM(X47:X50)</f>
        <v>0</v>
      </c>
      <c r="Y45" s="55">
        <f>SUM(Y47:Y50)</f>
        <v>0.66</v>
      </c>
      <c r="Z45" s="54">
        <f t="shared" si="2"/>
        <v>345918.12999999995</v>
      </c>
      <c r="AA45" s="54">
        <f>SUM(AA47:AA50)</f>
        <v>23.77</v>
      </c>
      <c r="AB45" s="54">
        <f>SUM(AB47:AB50)</f>
        <v>-11300</v>
      </c>
      <c r="AC45" s="54">
        <f>SUM(AC47:AC50)</f>
        <v>0</v>
      </c>
      <c r="AD45" s="133">
        <f t="shared" si="8"/>
        <v>334641.89999999997</v>
      </c>
    </row>
    <row r="46" spans="1:30" ht="14.25" customHeight="1" x14ac:dyDescent="0.25">
      <c r="A46" s="56" t="s">
        <v>54</v>
      </c>
      <c r="B46" s="64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9"/>
      <c r="Z46" s="140"/>
      <c r="AA46" s="140"/>
      <c r="AB46" s="140"/>
      <c r="AC46" s="140"/>
      <c r="AD46" s="127"/>
    </row>
    <row r="47" spans="1:30" ht="22.5" customHeight="1" x14ac:dyDescent="0.25">
      <c r="A47" s="57" t="s">
        <v>86</v>
      </c>
      <c r="B47" s="58"/>
      <c r="C47" s="22">
        <v>0</v>
      </c>
      <c r="D47" s="22">
        <v>0</v>
      </c>
      <c r="E47" s="22">
        <f>SUM(C47:D47)</f>
        <v>0</v>
      </c>
      <c r="F47" s="22">
        <v>0</v>
      </c>
      <c r="G47" s="22">
        <f>18612.4</f>
        <v>18612.400000000001</v>
      </c>
      <c r="H47" s="22">
        <f>SUM(E47:G47)+4396.24</f>
        <v>23008.639999999999</v>
      </c>
      <c r="I47" s="22">
        <v>0</v>
      </c>
      <c r="J47" s="22">
        <f>1303</f>
        <v>1303</v>
      </c>
      <c r="K47" s="22">
        <f t="shared" si="4"/>
        <v>24311.64</v>
      </c>
      <c r="L47" s="22">
        <v>294.36</v>
      </c>
      <c r="M47" s="22">
        <f>L47-K47</f>
        <v>-24017.279999999999</v>
      </c>
      <c r="N47" s="22">
        <f>L47/K47</f>
        <v>1.2107780470589398E-2</v>
      </c>
      <c r="O47" s="22">
        <f>2215.2</f>
        <v>2215.1999999999998</v>
      </c>
      <c r="P47" s="22">
        <f>L47+O47</f>
        <v>2509.56</v>
      </c>
      <c r="Q47" s="22">
        <v>0</v>
      </c>
      <c r="R47" s="22">
        <f>4250.33</f>
        <v>4250.33</v>
      </c>
      <c r="S47" s="22">
        <f>SUM(P47:R47)+19950.4</f>
        <v>26710.29</v>
      </c>
      <c r="T47" s="22">
        <v>0</v>
      </c>
      <c r="U47" s="22">
        <v>0</v>
      </c>
      <c r="V47" s="22">
        <f>1353</f>
        <v>1353</v>
      </c>
      <c r="W47" s="22">
        <f t="shared" si="20"/>
        <v>28063.29</v>
      </c>
      <c r="X47" s="22">
        <v>0</v>
      </c>
      <c r="Y47" s="23">
        <v>0</v>
      </c>
      <c r="Z47" s="140">
        <f t="shared" si="2"/>
        <v>28063.29</v>
      </c>
      <c r="AA47" s="140">
        <v>0</v>
      </c>
      <c r="AB47" s="140">
        <v>0</v>
      </c>
      <c r="AC47" s="140">
        <v>0</v>
      </c>
      <c r="AD47" s="127">
        <f t="shared" si="8"/>
        <v>28063.29</v>
      </c>
    </row>
    <row r="48" spans="1:30" ht="15" customHeight="1" x14ac:dyDescent="0.25">
      <c r="A48" s="57" t="s">
        <v>87</v>
      </c>
      <c r="B48" s="58"/>
      <c r="C48" s="22">
        <v>700</v>
      </c>
      <c r="D48" s="22">
        <f>5.5</f>
        <v>5.5</v>
      </c>
      <c r="E48" s="22">
        <f>SUM(C48:D48)</f>
        <v>705.5</v>
      </c>
      <c r="F48" s="22">
        <v>35.700000000000003</v>
      </c>
      <c r="G48" s="22">
        <f>21.44+5.13</f>
        <v>26.57</v>
      </c>
      <c r="H48" s="22">
        <f t="shared" ref="H48:H49" si="25">SUM(E48:G48)</f>
        <v>767.7700000000001</v>
      </c>
      <c r="I48" s="22">
        <v>0</v>
      </c>
      <c r="J48" s="22">
        <f>28.36+3.82+14.32</f>
        <v>46.5</v>
      </c>
      <c r="K48" s="22">
        <f t="shared" si="4"/>
        <v>814.2700000000001</v>
      </c>
      <c r="L48" s="22">
        <v>700</v>
      </c>
      <c r="M48" s="22">
        <f t="shared" ref="M48:M50" si="26">L48-K48</f>
        <v>-114.2700000000001</v>
      </c>
      <c r="N48" s="22">
        <f t="shared" ref="N48:N50" si="27">L48/K48</f>
        <v>0.85966571284708992</v>
      </c>
      <c r="O48" s="22">
        <v>0</v>
      </c>
      <c r="P48" s="22">
        <f t="shared" ref="P48:P50" si="28">L48+O48</f>
        <v>700</v>
      </c>
      <c r="Q48" s="22">
        <v>0</v>
      </c>
      <c r="R48" s="22">
        <v>0</v>
      </c>
      <c r="S48" s="22">
        <f>SUM(P48:R48)+6.8</f>
        <v>706.8</v>
      </c>
      <c r="T48" s="22">
        <v>0</v>
      </c>
      <c r="U48" s="22">
        <v>0</v>
      </c>
      <c r="V48" s="22">
        <f>16.4</f>
        <v>16.399999999999999</v>
      </c>
      <c r="W48" s="22">
        <f>SUM(S48:V48)+101.4+0.22</f>
        <v>824.81999999999994</v>
      </c>
      <c r="X48" s="22">
        <v>0</v>
      </c>
      <c r="Y48" s="23">
        <f>0.66</f>
        <v>0.66</v>
      </c>
      <c r="Z48" s="140">
        <f t="shared" si="2"/>
        <v>825.4799999999999</v>
      </c>
      <c r="AA48" s="140">
        <f>23.77</f>
        <v>23.77</v>
      </c>
      <c r="AB48" s="140">
        <v>0</v>
      </c>
      <c r="AC48" s="140">
        <v>0</v>
      </c>
      <c r="AD48" s="127">
        <f t="shared" si="8"/>
        <v>849.24999999999989</v>
      </c>
    </row>
    <row r="49" spans="1:30" ht="24" customHeight="1" x14ac:dyDescent="0.25">
      <c r="A49" s="57" t="s">
        <v>88</v>
      </c>
      <c r="B49" s="58"/>
      <c r="C49" s="22">
        <v>10666</v>
      </c>
      <c r="D49" s="22">
        <v>0</v>
      </c>
      <c r="E49" s="22">
        <f t="shared" ref="E49:E50" si="29">SUM(C49:D49)</f>
        <v>10666</v>
      </c>
      <c r="F49" s="22">
        <v>0</v>
      </c>
      <c r="G49" s="22">
        <v>0</v>
      </c>
      <c r="H49" s="22">
        <f t="shared" si="25"/>
        <v>10666</v>
      </c>
      <c r="I49" s="22">
        <v>0</v>
      </c>
      <c r="J49" s="22">
        <f>-115</f>
        <v>-115</v>
      </c>
      <c r="K49" s="22">
        <f t="shared" si="4"/>
        <v>10551</v>
      </c>
      <c r="L49" s="22">
        <v>12526</v>
      </c>
      <c r="M49" s="22">
        <f t="shared" si="26"/>
        <v>1975</v>
      </c>
      <c r="N49" s="22">
        <f t="shared" si="27"/>
        <v>1.1871860487157615</v>
      </c>
      <c r="O49" s="22">
        <f>0-100</f>
        <v>-100</v>
      </c>
      <c r="P49" s="22">
        <f t="shared" si="28"/>
        <v>12426</v>
      </c>
      <c r="Q49" s="22">
        <v>0</v>
      </c>
      <c r="R49" s="22">
        <v>0</v>
      </c>
      <c r="S49" s="22">
        <f t="shared" ref="S49" si="30">SUM(P49:R49)</f>
        <v>12426</v>
      </c>
      <c r="T49" s="22">
        <v>100</v>
      </c>
      <c r="U49" s="22">
        <v>0</v>
      </c>
      <c r="V49" s="22">
        <v>0</v>
      </c>
      <c r="W49" s="22">
        <f t="shared" si="20"/>
        <v>12526</v>
      </c>
      <c r="X49" s="22">
        <v>0</v>
      </c>
      <c r="Y49" s="23">
        <v>0</v>
      </c>
      <c r="Z49" s="140">
        <f t="shared" si="2"/>
        <v>12526</v>
      </c>
      <c r="AA49" s="140">
        <v>0</v>
      </c>
      <c r="AB49" s="140">
        <v>0</v>
      </c>
      <c r="AC49" s="140">
        <v>0</v>
      </c>
      <c r="AD49" s="127">
        <f t="shared" si="8"/>
        <v>12526</v>
      </c>
    </row>
    <row r="50" spans="1:30" ht="26.25" customHeight="1" thickBot="1" x14ac:dyDescent="0.3">
      <c r="A50" s="59" t="s">
        <v>89</v>
      </c>
      <c r="B50" s="60"/>
      <c r="C50" s="26">
        <v>277629</v>
      </c>
      <c r="D50" s="26">
        <v>0</v>
      </c>
      <c r="E50" s="26">
        <f t="shared" si="29"/>
        <v>277629</v>
      </c>
      <c r="F50" s="26">
        <v>9.9</v>
      </c>
      <c r="G50" s="26">
        <v>0</v>
      </c>
      <c r="H50" s="26">
        <f>SUM(E50:G50)</f>
        <v>277638.90000000002</v>
      </c>
      <c r="I50" s="26">
        <v>10.7</v>
      </c>
      <c r="J50" s="26">
        <v>0</v>
      </c>
      <c r="K50" s="26">
        <f t="shared" si="4"/>
        <v>277649.60000000003</v>
      </c>
      <c r="L50" s="26">
        <v>304503.36</v>
      </c>
      <c r="M50" s="26">
        <f t="shared" si="26"/>
        <v>26853.759999999951</v>
      </c>
      <c r="N50" s="26">
        <f t="shared" si="27"/>
        <v>1.0967181656303482</v>
      </c>
      <c r="O50" s="26">
        <v>0</v>
      </c>
      <c r="P50" s="26">
        <f t="shared" si="28"/>
        <v>304503.36</v>
      </c>
      <c r="Q50" s="26">
        <v>0</v>
      </c>
      <c r="R50" s="26">
        <v>0</v>
      </c>
      <c r="S50" s="26">
        <f>SUM(P50:R50)</f>
        <v>304503.36</v>
      </c>
      <c r="T50" s="26">
        <v>0</v>
      </c>
      <c r="U50" s="26">
        <v>0</v>
      </c>
      <c r="V50" s="26">
        <v>0</v>
      </c>
      <c r="W50" s="26">
        <f t="shared" si="20"/>
        <v>304503.36</v>
      </c>
      <c r="X50" s="26">
        <v>0</v>
      </c>
      <c r="Y50" s="27">
        <v>0</v>
      </c>
      <c r="Z50" s="141">
        <f t="shared" si="2"/>
        <v>304503.36</v>
      </c>
      <c r="AA50" s="141">
        <v>0</v>
      </c>
      <c r="AB50" s="141">
        <f>-11300</f>
        <v>-11300</v>
      </c>
      <c r="AC50" s="141">
        <v>0</v>
      </c>
      <c r="AD50" s="128">
        <f t="shared" si="8"/>
        <v>293203.36</v>
      </c>
    </row>
    <row r="51" spans="1:30" ht="16.350000000000001" customHeight="1" thickBot="1" x14ac:dyDescent="0.3">
      <c r="A51" s="52" t="s">
        <v>90</v>
      </c>
      <c r="B51" s="65"/>
      <c r="C51" s="54">
        <f>SUM(C53:C58)</f>
        <v>41816.560000000005</v>
      </c>
      <c r="D51" s="54">
        <f>SUM(D53:D58)</f>
        <v>1363.56</v>
      </c>
      <c r="E51" s="54">
        <f>SUM(C51:D51)</f>
        <v>43180.12</v>
      </c>
      <c r="F51" s="54">
        <f>SUM(F53:F58)</f>
        <v>-16879.07</v>
      </c>
      <c r="G51" s="54">
        <f>SUM(G53:G58)</f>
        <v>-86.61</v>
      </c>
      <c r="H51" s="54">
        <f>SUM(H53:H58)</f>
        <v>26214.440000000002</v>
      </c>
      <c r="I51" s="54">
        <f>SUM(I53:I58)</f>
        <v>-584.34</v>
      </c>
      <c r="J51" s="54">
        <f>SUM(J53:J58)</f>
        <v>0</v>
      </c>
      <c r="K51" s="54">
        <f t="shared" si="4"/>
        <v>25630.100000000002</v>
      </c>
      <c r="L51" s="54">
        <f>SUM(L53:L58)</f>
        <v>62387.56</v>
      </c>
      <c r="M51" s="54">
        <f>SUM(M53:M58)</f>
        <v>36757.460000000006</v>
      </c>
      <c r="N51" s="54">
        <f>L51/K51</f>
        <v>2.4341520321809118</v>
      </c>
      <c r="O51" s="54">
        <f t="shared" ref="O51:T51" si="31">SUM(O53:O58)</f>
        <v>702.56</v>
      </c>
      <c r="P51" s="54">
        <f t="shared" si="31"/>
        <v>63090.119999999995</v>
      </c>
      <c r="Q51" s="54">
        <f t="shared" si="31"/>
        <v>2186.6999999999998</v>
      </c>
      <c r="R51" s="54">
        <f t="shared" si="31"/>
        <v>0</v>
      </c>
      <c r="S51" s="54">
        <f t="shared" si="31"/>
        <v>65276.82</v>
      </c>
      <c r="T51" s="54">
        <f t="shared" si="31"/>
        <v>76.02</v>
      </c>
      <c r="U51" s="54">
        <f>SUM(U53:U58)</f>
        <v>-400</v>
      </c>
      <c r="V51" s="54">
        <f>SUM(V53:V58)</f>
        <v>0</v>
      </c>
      <c r="W51" s="54">
        <f>SUM(W53:W58)</f>
        <v>64952.84</v>
      </c>
      <c r="X51" s="54">
        <f>SUM(X53:X58)</f>
        <v>-94.94</v>
      </c>
      <c r="Y51" s="55">
        <f>SUM(Y53:Y58)</f>
        <v>0</v>
      </c>
      <c r="Z51" s="54">
        <f t="shared" si="2"/>
        <v>64857.899999999994</v>
      </c>
      <c r="AA51" s="54">
        <f>SUM(AA53:AA58)</f>
        <v>0</v>
      </c>
      <c r="AB51" s="54">
        <f>SUM(AB53:AB58)</f>
        <v>-3909.33</v>
      </c>
      <c r="AC51" s="54">
        <f>SUM(AC53:AC58)</f>
        <v>0</v>
      </c>
      <c r="AD51" s="133">
        <f t="shared" si="8"/>
        <v>60948.569999999992</v>
      </c>
    </row>
    <row r="52" spans="1:30" ht="12.75" customHeight="1" x14ac:dyDescent="0.25">
      <c r="A52" s="56" t="s">
        <v>54</v>
      </c>
      <c r="B52" s="64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9"/>
      <c r="Z52" s="140"/>
      <c r="AA52" s="140"/>
      <c r="AB52" s="140"/>
      <c r="AC52" s="140"/>
      <c r="AD52" s="127"/>
    </row>
    <row r="53" spans="1:30" ht="22.5" customHeight="1" x14ac:dyDescent="0.25">
      <c r="A53" s="41" t="s">
        <v>91</v>
      </c>
      <c r="B53" s="66" t="s">
        <v>92</v>
      </c>
      <c r="C53" s="22">
        <v>0</v>
      </c>
      <c r="D53" s="22">
        <f>20</f>
        <v>20</v>
      </c>
      <c r="E53" s="22">
        <f>SUM(C53:D53)</f>
        <v>20</v>
      </c>
      <c r="F53" s="22">
        <v>0</v>
      </c>
      <c r="G53" s="22">
        <v>0</v>
      </c>
      <c r="H53" s="22">
        <f>SUM(E53:G53)</f>
        <v>20</v>
      </c>
      <c r="I53" s="22">
        <v>0</v>
      </c>
      <c r="J53" s="22">
        <v>0</v>
      </c>
      <c r="K53" s="22">
        <f t="shared" si="4"/>
        <v>20</v>
      </c>
      <c r="L53" s="22">
        <v>0</v>
      </c>
      <c r="M53" s="22">
        <f>L53-K53</f>
        <v>-20</v>
      </c>
      <c r="N53" s="22">
        <f>L53/K53</f>
        <v>0</v>
      </c>
      <c r="O53" s="22">
        <f>0+25</f>
        <v>25</v>
      </c>
      <c r="P53" s="22">
        <f>L53+O53</f>
        <v>25</v>
      </c>
      <c r="Q53" s="22">
        <v>0</v>
      </c>
      <c r="R53" s="22">
        <v>0</v>
      </c>
      <c r="S53" s="22">
        <f>SUM(P53:R53)</f>
        <v>25</v>
      </c>
      <c r="T53" s="22">
        <v>0</v>
      </c>
      <c r="U53" s="22">
        <v>0</v>
      </c>
      <c r="V53" s="22">
        <v>0</v>
      </c>
      <c r="W53" s="22">
        <f t="shared" si="20"/>
        <v>25</v>
      </c>
      <c r="X53" s="22">
        <v>0</v>
      </c>
      <c r="Y53" s="23">
        <v>0</v>
      </c>
      <c r="Z53" s="140">
        <f t="shared" si="2"/>
        <v>25</v>
      </c>
      <c r="AA53" s="140">
        <v>0</v>
      </c>
      <c r="AB53" s="140">
        <v>0</v>
      </c>
      <c r="AC53" s="140">
        <v>0</v>
      </c>
      <c r="AD53" s="127">
        <f t="shared" si="8"/>
        <v>25</v>
      </c>
    </row>
    <row r="54" spans="1:30" ht="23.25" customHeight="1" x14ac:dyDescent="0.25">
      <c r="A54" s="57" t="s">
        <v>93</v>
      </c>
      <c r="B54" s="58" t="s">
        <v>94</v>
      </c>
      <c r="C54" s="22">
        <v>12100</v>
      </c>
      <c r="D54" s="22">
        <v>0</v>
      </c>
      <c r="E54" s="22">
        <f t="shared" ref="E54:E58" si="32">SUM(C54:D54)</f>
        <v>12100</v>
      </c>
      <c r="F54" s="22">
        <v>0</v>
      </c>
      <c r="G54" s="22">
        <v>0</v>
      </c>
      <c r="H54" s="22">
        <f t="shared" ref="H54:H58" si="33">SUM(E54:G54)</f>
        <v>12100</v>
      </c>
      <c r="I54" s="22">
        <v>0</v>
      </c>
      <c r="J54" s="22">
        <v>0</v>
      </c>
      <c r="K54" s="22">
        <f t="shared" si="4"/>
        <v>12100</v>
      </c>
      <c r="L54" s="22">
        <v>25000</v>
      </c>
      <c r="M54" s="22">
        <f t="shared" ref="M54:M56" si="34">L54-K54</f>
        <v>12900</v>
      </c>
      <c r="N54" s="22">
        <f t="shared" ref="N54:N58" si="35">L54/K54</f>
        <v>2.0661157024793386</v>
      </c>
      <c r="O54" s="22">
        <v>0</v>
      </c>
      <c r="P54" s="22">
        <f t="shared" ref="P54:P58" si="36">L54+O54</f>
        <v>25000</v>
      </c>
      <c r="Q54" s="22">
        <v>0</v>
      </c>
      <c r="R54" s="22">
        <v>0</v>
      </c>
      <c r="S54" s="22">
        <f t="shared" ref="S54:S57" si="37">SUM(P54:R54)</f>
        <v>25000</v>
      </c>
      <c r="T54" s="22">
        <v>0</v>
      </c>
      <c r="U54" s="22">
        <v>0</v>
      </c>
      <c r="V54" s="22">
        <v>0</v>
      </c>
      <c r="W54" s="22">
        <f t="shared" si="20"/>
        <v>25000</v>
      </c>
      <c r="X54" s="22">
        <v>0</v>
      </c>
      <c r="Y54" s="23">
        <v>0</v>
      </c>
      <c r="Z54" s="140">
        <f t="shared" si="2"/>
        <v>25000</v>
      </c>
      <c r="AA54" s="140">
        <v>0</v>
      </c>
      <c r="AB54" s="140">
        <v>0</v>
      </c>
      <c r="AC54" s="140">
        <v>0</v>
      </c>
      <c r="AD54" s="127">
        <f t="shared" si="8"/>
        <v>25000</v>
      </c>
    </row>
    <row r="55" spans="1:30" ht="15" customHeight="1" x14ac:dyDescent="0.25">
      <c r="A55" s="57" t="s">
        <v>95</v>
      </c>
      <c r="B55" s="58"/>
      <c r="C55" s="22">
        <v>26353.66</v>
      </c>
      <c r="D55" s="22">
        <v>0</v>
      </c>
      <c r="E55" s="22">
        <f t="shared" si="32"/>
        <v>26353.66</v>
      </c>
      <c r="F55" s="22">
        <f>-7607.07-1000-700-9000</f>
        <v>-18307.07</v>
      </c>
      <c r="G55" s="22">
        <v>0</v>
      </c>
      <c r="H55" s="22">
        <f t="shared" si="33"/>
        <v>8046.59</v>
      </c>
      <c r="I55" s="22">
        <v>-584.34</v>
      </c>
      <c r="J55" s="22">
        <v>0</v>
      </c>
      <c r="K55" s="22">
        <f t="shared" si="4"/>
        <v>7462.25</v>
      </c>
      <c r="L55" s="22">
        <v>5071.5600000000004</v>
      </c>
      <c r="M55" s="22">
        <f t="shared" si="34"/>
        <v>-2390.6899999999996</v>
      </c>
      <c r="N55" s="22">
        <f t="shared" si="35"/>
        <v>0.67962879828469969</v>
      </c>
      <c r="O55" s="22">
        <v>0</v>
      </c>
      <c r="P55" s="22">
        <f t="shared" si="36"/>
        <v>5071.5600000000004</v>
      </c>
      <c r="Q55" s="22">
        <v>76.09</v>
      </c>
      <c r="R55" s="22">
        <v>0</v>
      </c>
      <c r="S55" s="22">
        <f t="shared" si="37"/>
        <v>5147.6500000000005</v>
      </c>
      <c r="T55" s="22">
        <v>76.02</v>
      </c>
      <c r="U55" s="22">
        <f>-400</f>
        <v>-400</v>
      </c>
      <c r="V55" s="22">
        <v>0</v>
      </c>
      <c r="W55" s="22">
        <f t="shared" si="20"/>
        <v>4823.670000000001</v>
      </c>
      <c r="X55" s="22">
        <f>4.06-247</f>
        <v>-242.94</v>
      </c>
      <c r="Y55" s="23">
        <v>0</v>
      </c>
      <c r="Z55" s="140">
        <f t="shared" si="2"/>
        <v>4580.7300000000014</v>
      </c>
      <c r="AA55" s="140">
        <v>0</v>
      </c>
      <c r="AB55" s="140">
        <f>41.67-2951</f>
        <v>-2909.33</v>
      </c>
      <c r="AC55" s="140">
        <v>0</v>
      </c>
      <c r="AD55" s="127">
        <f t="shared" si="8"/>
        <v>1671.4000000000015</v>
      </c>
    </row>
    <row r="56" spans="1:30" ht="15" customHeight="1" x14ac:dyDescent="0.25">
      <c r="A56" s="57" t="s">
        <v>96</v>
      </c>
      <c r="B56" s="58"/>
      <c r="C56" s="22">
        <v>200</v>
      </c>
      <c r="D56" s="22">
        <v>0</v>
      </c>
      <c r="E56" s="22">
        <f t="shared" si="32"/>
        <v>200</v>
      </c>
      <c r="F56" s="22">
        <v>0</v>
      </c>
      <c r="G56" s="22">
        <v>0</v>
      </c>
      <c r="H56" s="22">
        <f t="shared" si="33"/>
        <v>200</v>
      </c>
      <c r="I56" s="22">
        <v>0</v>
      </c>
      <c r="J56" s="22">
        <v>0</v>
      </c>
      <c r="K56" s="22">
        <f t="shared" si="4"/>
        <v>200</v>
      </c>
      <c r="L56" s="22">
        <v>200</v>
      </c>
      <c r="M56" s="22">
        <f t="shared" si="34"/>
        <v>0</v>
      </c>
      <c r="N56" s="22">
        <f t="shared" si="35"/>
        <v>1</v>
      </c>
      <c r="O56" s="22">
        <v>0</v>
      </c>
      <c r="P56" s="22">
        <f t="shared" si="36"/>
        <v>200</v>
      </c>
      <c r="Q56" s="22">
        <v>0</v>
      </c>
      <c r="R56" s="22">
        <v>0</v>
      </c>
      <c r="S56" s="22">
        <f t="shared" si="37"/>
        <v>200</v>
      </c>
      <c r="T56" s="22">
        <v>0</v>
      </c>
      <c r="U56" s="22">
        <v>0</v>
      </c>
      <c r="V56" s="22">
        <v>0</v>
      </c>
      <c r="W56" s="22">
        <f t="shared" si="20"/>
        <v>200</v>
      </c>
      <c r="X56" s="22">
        <v>0</v>
      </c>
      <c r="Y56" s="23">
        <v>0</v>
      </c>
      <c r="Z56" s="140">
        <f t="shared" si="2"/>
        <v>200</v>
      </c>
      <c r="AA56" s="140">
        <v>0</v>
      </c>
      <c r="AB56" s="140">
        <v>0</v>
      </c>
      <c r="AC56" s="140">
        <v>0</v>
      </c>
      <c r="AD56" s="127">
        <f t="shared" si="8"/>
        <v>200</v>
      </c>
    </row>
    <row r="57" spans="1:30" ht="28.5" customHeight="1" x14ac:dyDescent="0.25">
      <c r="A57" s="57" t="s">
        <v>97</v>
      </c>
      <c r="B57" s="58"/>
      <c r="C57" s="22"/>
      <c r="D57" s="22"/>
      <c r="E57" s="22"/>
      <c r="F57" s="22"/>
      <c r="G57" s="22"/>
      <c r="H57" s="22"/>
      <c r="I57" s="22"/>
      <c r="J57" s="22"/>
      <c r="K57" s="22"/>
      <c r="L57" s="22">
        <v>0</v>
      </c>
      <c r="M57" s="22"/>
      <c r="N57" s="22"/>
      <c r="O57" s="22"/>
      <c r="P57" s="22">
        <v>0</v>
      </c>
      <c r="Q57" s="22">
        <v>1000</v>
      </c>
      <c r="R57" s="22">
        <v>0</v>
      </c>
      <c r="S57" s="22">
        <f t="shared" si="37"/>
        <v>1000</v>
      </c>
      <c r="T57" s="22">
        <v>0</v>
      </c>
      <c r="U57" s="22">
        <v>0</v>
      </c>
      <c r="V57" s="22">
        <v>0</v>
      </c>
      <c r="W57" s="22">
        <f t="shared" si="20"/>
        <v>1000</v>
      </c>
      <c r="X57" s="22">
        <v>0</v>
      </c>
      <c r="Y57" s="23">
        <v>0</v>
      </c>
      <c r="Z57" s="140">
        <f t="shared" si="2"/>
        <v>1000</v>
      </c>
      <c r="AA57" s="140">
        <v>0</v>
      </c>
      <c r="AB57" s="140">
        <f>-1000</f>
        <v>-1000</v>
      </c>
      <c r="AC57" s="140">
        <v>0</v>
      </c>
      <c r="AD57" s="127">
        <f t="shared" si="8"/>
        <v>0</v>
      </c>
    </row>
    <row r="58" spans="1:30" ht="21.75" customHeight="1" thickBot="1" x14ac:dyDescent="0.3">
      <c r="A58" s="59" t="s">
        <v>98</v>
      </c>
      <c r="B58" s="60"/>
      <c r="C58" s="26">
        <v>3162.9</v>
      </c>
      <c r="D58" s="26">
        <f>17.84+228.77+1116.95-20</f>
        <v>1343.56</v>
      </c>
      <c r="E58" s="26">
        <f t="shared" si="32"/>
        <v>4506.46</v>
      </c>
      <c r="F58" s="26">
        <v>1428</v>
      </c>
      <c r="G58" s="26">
        <f>-86.61</f>
        <v>-86.61</v>
      </c>
      <c r="H58" s="26">
        <f t="shared" si="33"/>
        <v>5847.85</v>
      </c>
      <c r="I58" s="26">
        <v>0</v>
      </c>
      <c r="J58" s="26">
        <v>0</v>
      </c>
      <c r="K58" s="26">
        <f t="shared" si="4"/>
        <v>5847.85</v>
      </c>
      <c r="L58" s="26">
        <v>32116</v>
      </c>
      <c r="M58" s="26">
        <f>L58-K58</f>
        <v>26268.15</v>
      </c>
      <c r="N58" s="26">
        <f t="shared" si="35"/>
        <v>5.49193293261626</v>
      </c>
      <c r="O58" s="26">
        <f>702.56-25</f>
        <v>677.56</v>
      </c>
      <c r="P58" s="26">
        <f t="shared" si="36"/>
        <v>32793.56</v>
      </c>
      <c r="Q58" s="26">
        <v>1110.6099999999999</v>
      </c>
      <c r="R58" s="26">
        <v>0</v>
      </c>
      <c r="S58" s="26">
        <f>SUM(P58:R58)</f>
        <v>33904.17</v>
      </c>
      <c r="T58" s="26">
        <v>0</v>
      </c>
      <c r="U58" s="26">
        <v>0</v>
      </c>
      <c r="V58" s="26">
        <v>0</v>
      </c>
      <c r="W58" s="26">
        <f t="shared" si="20"/>
        <v>33904.17</v>
      </c>
      <c r="X58" s="26">
        <f>148</f>
        <v>148</v>
      </c>
      <c r="Y58" s="27">
        <v>0</v>
      </c>
      <c r="Z58" s="141">
        <f t="shared" si="2"/>
        <v>34052.17</v>
      </c>
      <c r="AA58" s="141">
        <v>0</v>
      </c>
      <c r="AB58" s="141">
        <v>0</v>
      </c>
      <c r="AC58" s="141">
        <v>0</v>
      </c>
      <c r="AD58" s="128">
        <f t="shared" si="8"/>
        <v>34052.17</v>
      </c>
    </row>
    <row r="59" spans="1:30" ht="16.350000000000001" customHeight="1" thickBot="1" x14ac:dyDescent="0.3">
      <c r="A59" s="52" t="s">
        <v>99</v>
      </c>
      <c r="B59" s="63"/>
      <c r="C59" s="54">
        <f>SUM(C61:C64)</f>
        <v>121341.05</v>
      </c>
      <c r="D59" s="54">
        <f>SUM(D61:D64)</f>
        <v>-7463.3</v>
      </c>
      <c r="E59" s="54">
        <f>SUM(C59:D59)</f>
        <v>113877.75</v>
      </c>
      <c r="F59" s="54">
        <f>SUM(F61:F64)</f>
        <v>4735.78</v>
      </c>
      <c r="G59" s="54">
        <f>SUM(G61:G64)</f>
        <v>-4242.83</v>
      </c>
      <c r="H59" s="54">
        <f>SUM(H61:H64)</f>
        <v>114279.75999999998</v>
      </c>
      <c r="I59" s="54">
        <f>SUM(I61:I64)</f>
        <v>5118.1000000000004</v>
      </c>
      <c r="J59" s="54">
        <f>SUM(J61:J64)</f>
        <v>2086.4</v>
      </c>
      <c r="K59" s="54">
        <f t="shared" si="4"/>
        <v>121484.25999999998</v>
      </c>
      <c r="L59" s="54">
        <f>SUM(L61:L64)</f>
        <v>144983.1</v>
      </c>
      <c r="M59" s="54">
        <f>SUM(M61:M64)</f>
        <v>23498.840000000011</v>
      </c>
      <c r="N59" s="54">
        <f>L59/K59</f>
        <v>1.1934311490229272</v>
      </c>
      <c r="O59" s="54">
        <f t="shared" ref="O59:Y59" si="38">SUM(O61:O64)</f>
        <v>-7681.84</v>
      </c>
      <c r="P59" s="54">
        <f t="shared" si="38"/>
        <v>136747.26</v>
      </c>
      <c r="Q59" s="54">
        <f t="shared" si="38"/>
        <v>3528.7200000000003</v>
      </c>
      <c r="R59" s="54">
        <f t="shared" si="38"/>
        <v>661.55000000000007</v>
      </c>
      <c r="S59" s="54">
        <f t="shared" si="38"/>
        <v>139743.53</v>
      </c>
      <c r="T59" s="54">
        <f t="shared" si="38"/>
        <v>12034</v>
      </c>
      <c r="U59" s="54">
        <f t="shared" si="38"/>
        <v>0</v>
      </c>
      <c r="V59" s="54">
        <f t="shared" si="38"/>
        <v>-1484.7200000000003</v>
      </c>
      <c r="W59" s="54">
        <f t="shared" si="38"/>
        <v>150674.10999999999</v>
      </c>
      <c r="X59" s="54">
        <f t="shared" si="38"/>
        <v>7361</v>
      </c>
      <c r="Y59" s="55">
        <f t="shared" si="38"/>
        <v>909.44999999999993</v>
      </c>
      <c r="Z59" s="54">
        <f t="shared" si="2"/>
        <v>158944.56</v>
      </c>
      <c r="AA59" s="54">
        <f>SUM(AA61:AA64)</f>
        <v>315.13</v>
      </c>
      <c r="AB59" s="54">
        <f>SUM(AB61:AB64)</f>
        <v>-13988.09</v>
      </c>
      <c r="AC59" s="54">
        <f>SUM(AC61:AC64)</f>
        <v>0</v>
      </c>
      <c r="AD59" s="133">
        <f t="shared" si="8"/>
        <v>145271.6</v>
      </c>
    </row>
    <row r="60" spans="1:30" ht="15.75" customHeight="1" x14ac:dyDescent="0.25">
      <c r="A60" s="56" t="s">
        <v>54</v>
      </c>
      <c r="B60" s="64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9"/>
      <c r="Z60" s="140"/>
      <c r="AA60" s="140"/>
      <c r="AB60" s="140"/>
      <c r="AC60" s="140"/>
      <c r="AD60" s="127"/>
    </row>
    <row r="61" spans="1:30" ht="25.5" customHeight="1" x14ac:dyDescent="0.25">
      <c r="A61" s="57" t="s">
        <v>100</v>
      </c>
      <c r="B61" s="58"/>
      <c r="C61" s="22">
        <v>0</v>
      </c>
      <c r="D61" s="22">
        <v>0</v>
      </c>
      <c r="E61" s="40">
        <f>SUM(C61:D61)</f>
        <v>0</v>
      </c>
      <c r="F61" s="40">
        <v>0</v>
      </c>
      <c r="G61" s="40">
        <v>0</v>
      </c>
      <c r="H61" s="40">
        <f>SUM(E61:G61)</f>
        <v>0</v>
      </c>
      <c r="I61" s="40">
        <v>0</v>
      </c>
      <c r="J61" s="40">
        <f>259+250-250</f>
        <v>259</v>
      </c>
      <c r="K61" s="22">
        <f t="shared" si="4"/>
        <v>259</v>
      </c>
      <c r="L61" s="22">
        <v>0</v>
      </c>
      <c r="M61" s="22">
        <f>L61-K61</f>
        <v>-259</v>
      </c>
      <c r="N61" s="22">
        <f>L61/K61</f>
        <v>0</v>
      </c>
      <c r="O61" s="22">
        <v>0</v>
      </c>
      <c r="P61" s="22">
        <f>L61+O61</f>
        <v>0</v>
      </c>
      <c r="Q61" s="22">
        <v>0</v>
      </c>
      <c r="R61" s="22">
        <v>0</v>
      </c>
      <c r="S61" s="22">
        <f>SUM(P61:R61)</f>
        <v>0</v>
      </c>
      <c r="T61" s="22">
        <v>0</v>
      </c>
      <c r="U61" s="22">
        <v>0</v>
      </c>
      <c r="V61" s="22">
        <v>0</v>
      </c>
      <c r="W61" s="22">
        <f t="shared" si="20"/>
        <v>0</v>
      </c>
      <c r="X61" s="22">
        <v>0</v>
      </c>
      <c r="Y61" s="23">
        <v>0</v>
      </c>
      <c r="Z61" s="140">
        <f t="shared" si="2"/>
        <v>0</v>
      </c>
      <c r="AA61" s="140">
        <v>0</v>
      </c>
      <c r="AB61" s="140">
        <v>0</v>
      </c>
      <c r="AC61" s="140">
        <v>0</v>
      </c>
      <c r="AD61" s="127">
        <f t="shared" si="8"/>
        <v>0</v>
      </c>
    </row>
    <row r="62" spans="1:30" ht="15" customHeight="1" x14ac:dyDescent="0.25">
      <c r="A62" s="57" t="s">
        <v>87</v>
      </c>
      <c r="B62" s="58"/>
      <c r="C62" s="22">
        <v>50245.05</v>
      </c>
      <c r="D62" s="22">
        <f>-6934-429.3</f>
        <v>-7363.3</v>
      </c>
      <c r="E62" s="40">
        <f t="shared" ref="E62:E64" si="39">SUM(C62:D62)</f>
        <v>42881.75</v>
      </c>
      <c r="F62" s="40">
        <v>4573.38</v>
      </c>
      <c r="G62" s="40">
        <f>-196.83-4000</f>
        <v>-4196.83</v>
      </c>
      <c r="H62" s="40">
        <f>SUM(E62:G62)-112.94</f>
        <v>43145.359999999993</v>
      </c>
      <c r="I62" s="40">
        <v>5118.1000000000004</v>
      </c>
      <c r="J62" s="40">
        <f>277.4-1655+2955</f>
        <v>1577.4</v>
      </c>
      <c r="K62" s="22">
        <f t="shared" si="4"/>
        <v>49840.859999999993</v>
      </c>
      <c r="L62" s="22">
        <v>57173.1</v>
      </c>
      <c r="M62" s="22">
        <f t="shared" ref="M62:M64" si="40">L62-K62</f>
        <v>7332.2400000000052</v>
      </c>
      <c r="N62" s="22">
        <f>L62/K62</f>
        <v>1.1471130313562006</v>
      </c>
      <c r="O62" s="22">
        <f>-6186.71-92.75-1714</f>
        <v>-7993.46</v>
      </c>
      <c r="P62" s="22">
        <f>L62+O62-179</f>
        <v>49000.639999999999</v>
      </c>
      <c r="Q62" s="22">
        <v>5034.67</v>
      </c>
      <c r="R62" s="22">
        <f>-55.13+988.97-1700+476</f>
        <v>-290.15999999999997</v>
      </c>
      <c r="S62" s="22">
        <f>SUM(P62:R62)-1886.77</f>
        <v>51858.38</v>
      </c>
      <c r="T62" s="22">
        <v>10925</v>
      </c>
      <c r="U62" s="22">
        <v>0</v>
      </c>
      <c r="V62" s="22">
        <f>-306.01-1893.71</f>
        <v>-2199.7200000000003</v>
      </c>
      <c r="W62" s="22">
        <f>SUM(S62:V62)-111.1</f>
        <v>60472.56</v>
      </c>
      <c r="X62" s="22">
        <v>6801</v>
      </c>
      <c r="Y62" s="23">
        <f>3.06+772-318.76-390.75</f>
        <v>65.549999999999955</v>
      </c>
      <c r="Z62" s="140">
        <f t="shared" si="2"/>
        <v>67339.11</v>
      </c>
      <c r="AA62" s="140">
        <f>-50.6+53.73</f>
        <v>3.1299999999999955</v>
      </c>
      <c r="AB62" s="140">
        <f>-13005.09</f>
        <v>-13005.09</v>
      </c>
      <c r="AC62" s="140">
        <v>0</v>
      </c>
      <c r="AD62" s="127">
        <f t="shared" si="8"/>
        <v>54337.150000000009</v>
      </c>
    </row>
    <row r="63" spans="1:30" ht="35.25" customHeight="1" x14ac:dyDescent="0.25">
      <c r="A63" s="20" t="s">
        <v>101</v>
      </c>
      <c r="B63" s="58"/>
      <c r="C63" s="22">
        <v>0</v>
      </c>
      <c r="D63" s="22"/>
      <c r="E63" s="40"/>
      <c r="F63" s="40"/>
      <c r="G63" s="40"/>
      <c r="H63" s="40"/>
      <c r="I63" s="40"/>
      <c r="J63" s="40"/>
      <c r="K63" s="22">
        <v>0</v>
      </c>
      <c r="L63" s="22">
        <v>2450</v>
      </c>
      <c r="M63" s="22">
        <f t="shared" si="40"/>
        <v>2450</v>
      </c>
      <c r="N63" s="22" t="s">
        <v>46</v>
      </c>
      <c r="O63" s="22">
        <v>0</v>
      </c>
      <c r="P63" s="22">
        <f t="shared" ref="P63" si="41">L63+O63</f>
        <v>2450</v>
      </c>
      <c r="Q63" s="22">
        <v>-2450</v>
      </c>
      <c r="R63" s="22">
        <v>0</v>
      </c>
      <c r="S63" s="22">
        <f>SUM(P63:R63)</f>
        <v>0</v>
      </c>
      <c r="T63" s="22">
        <v>0</v>
      </c>
      <c r="U63" s="22">
        <v>0</v>
      </c>
      <c r="V63" s="22">
        <v>0</v>
      </c>
      <c r="W63" s="22">
        <f t="shared" si="20"/>
        <v>0</v>
      </c>
      <c r="X63" s="22">
        <v>0</v>
      </c>
      <c r="Y63" s="23">
        <v>0</v>
      </c>
      <c r="Z63" s="140">
        <f t="shared" si="2"/>
        <v>0</v>
      </c>
      <c r="AA63" s="140">
        <v>0</v>
      </c>
      <c r="AB63" s="140">
        <v>0</v>
      </c>
      <c r="AC63" s="140">
        <v>0</v>
      </c>
      <c r="AD63" s="127">
        <f t="shared" si="8"/>
        <v>0</v>
      </c>
    </row>
    <row r="64" spans="1:30" ht="26.25" customHeight="1" x14ac:dyDescent="0.25">
      <c r="A64" s="57" t="s">
        <v>102</v>
      </c>
      <c r="B64" s="58"/>
      <c r="C64" s="22">
        <v>71096</v>
      </c>
      <c r="D64" s="22">
        <f>-100</f>
        <v>-100</v>
      </c>
      <c r="E64" s="40">
        <f t="shared" si="39"/>
        <v>70996</v>
      </c>
      <c r="F64" s="40">
        <v>162.4</v>
      </c>
      <c r="G64" s="40">
        <f>-46</f>
        <v>-46</v>
      </c>
      <c r="H64" s="40">
        <f>SUM(E64:G64)+22</f>
        <v>71134.399999999994</v>
      </c>
      <c r="I64" s="40">
        <v>0</v>
      </c>
      <c r="J64" s="40">
        <f>307-57</f>
        <v>250</v>
      </c>
      <c r="K64" s="22">
        <f t="shared" si="4"/>
        <v>71384.399999999994</v>
      </c>
      <c r="L64" s="22">
        <v>85360</v>
      </c>
      <c r="M64" s="22">
        <f t="shared" si="40"/>
        <v>13975.600000000006</v>
      </c>
      <c r="N64" s="22">
        <f t="shared" ref="N64" si="42">L64/K64</f>
        <v>1.195779470024263</v>
      </c>
      <c r="O64" s="22">
        <f>-157.66+94.28+375</f>
        <v>311.62</v>
      </c>
      <c r="P64" s="22">
        <f>L64+O64-375</f>
        <v>85296.62</v>
      </c>
      <c r="Q64" s="22">
        <v>944.05</v>
      </c>
      <c r="R64" s="22">
        <f>894.5+57.21</f>
        <v>951.71</v>
      </c>
      <c r="S64" s="22">
        <f>SUM(P64:R64)+692.77</f>
        <v>87885.150000000009</v>
      </c>
      <c r="T64" s="22">
        <v>1109</v>
      </c>
      <c r="U64" s="22">
        <v>0</v>
      </c>
      <c r="V64" s="22">
        <f>715</f>
        <v>715</v>
      </c>
      <c r="W64" s="22">
        <f>SUM(S64:V64)+492.4</f>
        <v>90201.55</v>
      </c>
      <c r="X64" s="22">
        <v>560</v>
      </c>
      <c r="Y64" s="23">
        <f>423.9+100+320</f>
        <v>843.9</v>
      </c>
      <c r="Z64" s="144">
        <f t="shared" si="2"/>
        <v>91605.45</v>
      </c>
      <c r="AA64" s="144">
        <f>330-18</f>
        <v>312</v>
      </c>
      <c r="AB64" s="144">
        <f>-983</f>
        <v>-983</v>
      </c>
      <c r="AC64" s="144">
        <v>0</v>
      </c>
      <c r="AD64" s="134">
        <f t="shared" si="8"/>
        <v>90934.45</v>
      </c>
    </row>
    <row r="65" spans="1:30" ht="16.350000000000001" customHeight="1" thickBot="1" x14ac:dyDescent="0.3">
      <c r="A65" s="166" t="s">
        <v>103</v>
      </c>
      <c r="B65" s="167"/>
      <c r="C65" s="168">
        <f>SUM(C67:C69)</f>
        <v>1563.42</v>
      </c>
      <c r="D65" s="168">
        <f>SUM(D67:D69)</f>
        <v>0</v>
      </c>
      <c r="E65" s="168">
        <f>SUM(C65:D65)</f>
        <v>1563.42</v>
      </c>
      <c r="F65" s="168">
        <f>SUM(F67:F69)</f>
        <v>250</v>
      </c>
      <c r="G65" s="168">
        <f>SUM(G67:G69)</f>
        <v>0</v>
      </c>
      <c r="H65" s="168">
        <f>SUM(H67:H69)</f>
        <v>1813.42</v>
      </c>
      <c r="I65" s="168">
        <f>SUM(I67:I69)</f>
        <v>0</v>
      </c>
      <c r="J65" s="168">
        <f>SUM(J67:J69)</f>
        <v>0</v>
      </c>
      <c r="K65" s="168">
        <f t="shared" si="4"/>
        <v>1813.42</v>
      </c>
      <c r="L65" s="168">
        <f t="shared" ref="L65" si="43">SUM(L67:L69)</f>
        <v>1825.0500000000002</v>
      </c>
      <c r="M65" s="168">
        <f>SUM(M67:M69)</f>
        <v>11.630000000000031</v>
      </c>
      <c r="N65" s="168">
        <f>L65/K65</f>
        <v>1.0064132964233328</v>
      </c>
      <c r="O65" s="168">
        <f t="shared" ref="O65:T65" si="44">SUM(O67:O69)</f>
        <v>0</v>
      </c>
      <c r="P65" s="168">
        <f t="shared" si="44"/>
        <v>1825.0500000000002</v>
      </c>
      <c r="Q65" s="168">
        <f t="shared" si="44"/>
        <v>750</v>
      </c>
      <c r="R65" s="168">
        <f t="shared" si="44"/>
        <v>0</v>
      </c>
      <c r="S65" s="168">
        <f t="shared" si="44"/>
        <v>2575.0500000000002</v>
      </c>
      <c r="T65" s="168">
        <f t="shared" si="44"/>
        <v>0</v>
      </c>
      <c r="U65" s="168">
        <f>SUM(U67:U69)</f>
        <v>0</v>
      </c>
      <c r="V65" s="168">
        <f>SUM(V67:V69)</f>
        <v>0</v>
      </c>
      <c r="W65" s="168">
        <f>SUM(W67:W69)</f>
        <v>2575.0500000000002</v>
      </c>
      <c r="X65" s="168">
        <f>SUM(X67:X69)</f>
        <v>0</v>
      </c>
      <c r="Y65" s="169">
        <f>SUM(Y67:Y69)</f>
        <v>0</v>
      </c>
      <c r="Z65" s="168">
        <f t="shared" si="2"/>
        <v>2575.0500000000002</v>
      </c>
      <c r="AA65" s="168">
        <f>SUM(AA67:AA69)</f>
        <v>0</v>
      </c>
      <c r="AB65" s="168">
        <f>SUM(AB67:AB69)</f>
        <v>-250</v>
      </c>
      <c r="AC65" s="168">
        <f>SUM(AC67:AC69)</f>
        <v>0</v>
      </c>
      <c r="AD65" s="170">
        <f t="shared" si="8"/>
        <v>2325.0500000000002</v>
      </c>
    </row>
    <row r="66" spans="1:30" ht="13.5" customHeight="1" x14ac:dyDescent="0.25">
      <c r="A66" s="67" t="s">
        <v>54</v>
      </c>
      <c r="B66" s="64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9"/>
      <c r="Z66" s="140"/>
      <c r="AA66" s="140"/>
      <c r="AB66" s="140"/>
      <c r="AC66" s="140"/>
      <c r="AD66" s="127"/>
    </row>
    <row r="67" spans="1:30" ht="25.5" customHeight="1" x14ac:dyDescent="0.25">
      <c r="A67" s="20" t="s">
        <v>104</v>
      </c>
      <c r="B67" s="68" t="s">
        <v>92</v>
      </c>
      <c r="C67" s="22">
        <v>15</v>
      </c>
      <c r="D67" s="22">
        <v>0</v>
      </c>
      <c r="E67" s="22">
        <f>SUM(C67:D67)</f>
        <v>15</v>
      </c>
      <c r="F67" s="22">
        <v>0</v>
      </c>
      <c r="G67" s="22">
        <v>0</v>
      </c>
      <c r="H67" s="22">
        <f>SUM(E67:G67)</f>
        <v>15</v>
      </c>
      <c r="I67" s="22">
        <v>0</v>
      </c>
      <c r="J67" s="22">
        <v>0</v>
      </c>
      <c r="K67" s="22">
        <f t="shared" si="4"/>
        <v>15</v>
      </c>
      <c r="L67" s="22">
        <v>15</v>
      </c>
      <c r="M67" s="22">
        <f>L67-K67</f>
        <v>0</v>
      </c>
      <c r="N67" s="22">
        <f>L67/K67</f>
        <v>1</v>
      </c>
      <c r="O67" s="22">
        <v>0</v>
      </c>
      <c r="P67" s="22">
        <f>L67+O67</f>
        <v>15</v>
      </c>
      <c r="Q67" s="22">
        <v>0</v>
      </c>
      <c r="R67" s="22">
        <v>0</v>
      </c>
      <c r="S67" s="22">
        <f>SUM(P67:R67)</f>
        <v>15</v>
      </c>
      <c r="T67" s="22">
        <v>0</v>
      </c>
      <c r="U67" s="22">
        <v>0</v>
      </c>
      <c r="V67" s="22">
        <v>0</v>
      </c>
      <c r="W67" s="22">
        <f t="shared" si="20"/>
        <v>15</v>
      </c>
      <c r="X67" s="22">
        <v>0</v>
      </c>
      <c r="Y67" s="23">
        <v>0</v>
      </c>
      <c r="Z67" s="140">
        <f t="shared" si="2"/>
        <v>15</v>
      </c>
      <c r="AA67" s="140">
        <v>0</v>
      </c>
      <c r="AB67" s="140">
        <v>0</v>
      </c>
      <c r="AC67" s="140">
        <v>0</v>
      </c>
      <c r="AD67" s="127">
        <f t="shared" si="8"/>
        <v>15</v>
      </c>
    </row>
    <row r="68" spans="1:30" ht="15" customHeight="1" x14ac:dyDescent="0.25">
      <c r="A68" s="69" t="s">
        <v>87</v>
      </c>
      <c r="B68" s="58"/>
      <c r="C68" s="22">
        <v>56.7</v>
      </c>
      <c r="D68" s="22">
        <v>0</v>
      </c>
      <c r="E68" s="22">
        <f t="shared" ref="E68:E69" si="45">SUM(C68:D68)</f>
        <v>56.7</v>
      </c>
      <c r="F68" s="22">
        <v>0</v>
      </c>
      <c r="G68" s="22">
        <v>0</v>
      </c>
      <c r="H68" s="22">
        <f t="shared" ref="H68:H69" si="46">SUM(E68:G68)</f>
        <v>56.7</v>
      </c>
      <c r="I68" s="22">
        <v>0</v>
      </c>
      <c r="J68" s="22">
        <v>0</v>
      </c>
      <c r="K68" s="22">
        <f t="shared" si="4"/>
        <v>56.7</v>
      </c>
      <c r="L68" s="22">
        <v>62.37</v>
      </c>
      <c r="M68" s="22">
        <f t="shared" ref="M68:M69" si="47">L68-K68</f>
        <v>5.6699999999999946</v>
      </c>
      <c r="N68" s="22">
        <f>L68/K68</f>
        <v>1.0999999999999999</v>
      </c>
      <c r="O68" s="22">
        <v>0</v>
      </c>
      <c r="P68" s="22">
        <f t="shared" ref="P68:P69" si="48">L68+O68</f>
        <v>62.37</v>
      </c>
      <c r="Q68" s="22">
        <v>0</v>
      </c>
      <c r="R68" s="22">
        <v>0</v>
      </c>
      <c r="S68" s="22">
        <f t="shared" ref="S68:S69" si="49">SUM(P68:R68)</f>
        <v>62.37</v>
      </c>
      <c r="T68" s="22">
        <v>0</v>
      </c>
      <c r="U68" s="22">
        <v>0</v>
      </c>
      <c r="V68" s="22">
        <v>0</v>
      </c>
      <c r="W68" s="22">
        <f t="shared" si="20"/>
        <v>62.37</v>
      </c>
      <c r="X68" s="22">
        <v>0</v>
      </c>
      <c r="Y68" s="23">
        <v>0</v>
      </c>
      <c r="Z68" s="140">
        <f t="shared" si="2"/>
        <v>62.37</v>
      </c>
      <c r="AA68" s="140">
        <v>0</v>
      </c>
      <c r="AB68" s="140">
        <v>0</v>
      </c>
      <c r="AC68" s="140">
        <v>0</v>
      </c>
      <c r="AD68" s="127">
        <f t="shared" si="8"/>
        <v>62.37</v>
      </c>
    </row>
    <row r="69" spans="1:30" ht="21.75" customHeight="1" thickBot="1" x14ac:dyDescent="0.3">
      <c r="A69" s="24" t="s">
        <v>105</v>
      </c>
      <c r="B69" s="60"/>
      <c r="C69" s="26">
        <v>1491.72</v>
      </c>
      <c r="D69" s="26">
        <v>0</v>
      </c>
      <c r="E69" s="26">
        <f t="shared" si="45"/>
        <v>1491.72</v>
      </c>
      <c r="F69" s="26">
        <v>250</v>
      </c>
      <c r="G69" s="26">
        <v>0</v>
      </c>
      <c r="H69" s="26">
        <f t="shared" si="46"/>
        <v>1741.72</v>
      </c>
      <c r="I69" s="26">
        <v>0</v>
      </c>
      <c r="J69" s="26">
        <v>0</v>
      </c>
      <c r="K69" s="26">
        <f t="shared" si="4"/>
        <v>1741.72</v>
      </c>
      <c r="L69" s="26">
        <v>1747.68</v>
      </c>
      <c r="M69" s="26">
        <f t="shared" si="47"/>
        <v>5.9600000000000364</v>
      </c>
      <c r="N69" s="26">
        <f>L69/K69</f>
        <v>1.0034219047837769</v>
      </c>
      <c r="O69" s="26">
        <v>0</v>
      </c>
      <c r="P69" s="26">
        <f t="shared" si="48"/>
        <v>1747.68</v>
      </c>
      <c r="Q69" s="26">
        <v>750</v>
      </c>
      <c r="R69" s="26">
        <v>0</v>
      </c>
      <c r="S69" s="26">
        <f t="shared" si="49"/>
        <v>2497.6800000000003</v>
      </c>
      <c r="T69" s="26">
        <v>0</v>
      </c>
      <c r="U69" s="26">
        <v>0</v>
      </c>
      <c r="V69" s="26">
        <v>0</v>
      </c>
      <c r="W69" s="26">
        <f t="shared" si="20"/>
        <v>2497.6800000000003</v>
      </c>
      <c r="X69" s="26">
        <v>0</v>
      </c>
      <c r="Y69" s="27">
        <v>0</v>
      </c>
      <c r="Z69" s="141">
        <f t="shared" si="2"/>
        <v>2497.6800000000003</v>
      </c>
      <c r="AA69" s="141">
        <v>0</v>
      </c>
      <c r="AB69" s="141">
        <f>-250</f>
        <v>-250</v>
      </c>
      <c r="AC69" s="141">
        <v>0</v>
      </c>
      <c r="AD69" s="128">
        <f t="shared" si="8"/>
        <v>2247.6800000000003</v>
      </c>
    </row>
    <row r="70" spans="1:30" ht="16.350000000000001" customHeight="1" thickBot="1" x14ac:dyDescent="0.3">
      <c r="A70" s="71" t="s">
        <v>106</v>
      </c>
      <c r="B70" s="65"/>
      <c r="C70" s="54">
        <f>SUM(C72:C185)</f>
        <v>197920</v>
      </c>
      <c r="D70" s="54">
        <f>SUM(D72:D185)</f>
        <v>-380</v>
      </c>
      <c r="E70" s="54">
        <f>SUM(C70:D70)</f>
        <v>197540</v>
      </c>
      <c r="F70" s="54">
        <f>SUM(F72:F185)</f>
        <v>3092</v>
      </c>
      <c r="G70" s="54">
        <f>SUM(G72:G185)</f>
        <v>-1494.17</v>
      </c>
      <c r="H70" s="54">
        <f>SUM(H72:H185)</f>
        <v>199182</v>
      </c>
      <c r="I70" s="54">
        <f>SUM(I72:I185)</f>
        <v>1480.81</v>
      </c>
      <c r="J70" s="54">
        <f>SUM(J72:J185)</f>
        <v>-32</v>
      </c>
      <c r="K70" s="54">
        <f t="shared" si="4"/>
        <v>200630.81</v>
      </c>
      <c r="L70" s="54">
        <f>SUM(L72:L185)</f>
        <v>303512.67000000004</v>
      </c>
      <c r="M70" s="54">
        <f>SUM(M72:M185)</f>
        <v>102881.86000000002</v>
      </c>
      <c r="N70" s="54">
        <f>L70/K70</f>
        <v>1.512791928617544</v>
      </c>
      <c r="O70" s="54">
        <f t="shared" ref="O70:Y70" si="50">SUM(O72:O185)</f>
        <v>4559.99</v>
      </c>
      <c r="P70" s="54">
        <f t="shared" si="50"/>
        <v>308072.66000000003</v>
      </c>
      <c r="Q70" s="54">
        <f t="shared" si="50"/>
        <v>8794</v>
      </c>
      <c r="R70" s="54">
        <f t="shared" si="50"/>
        <v>10262.329999999998</v>
      </c>
      <c r="S70" s="54">
        <f t="shared" si="50"/>
        <v>327231.74</v>
      </c>
      <c r="T70" s="54">
        <f t="shared" si="50"/>
        <v>-4150.3500000000004</v>
      </c>
      <c r="U70" s="54">
        <f t="shared" si="50"/>
        <v>0</v>
      </c>
      <c r="V70" s="54">
        <f t="shared" si="50"/>
        <v>4563.16</v>
      </c>
      <c r="W70" s="54">
        <f t="shared" si="50"/>
        <v>331980.67999999993</v>
      </c>
      <c r="X70" s="54">
        <f t="shared" si="50"/>
        <v>6472</v>
      </c>
      <c r="Y70" s="55">
        <f t="shared" si="50"/>
        <v>29.700000000000074</v>
      </c>
      <c r="Z70" s="54">
        <f t="shared" si="2"/>
        <v>338482.37999999995</v>
      </c>
      <c r="AA70" s="54">
        <f>SUM(AA72:AA185)</f>
        <v>1228.3</v>
      </c>
      <c r="AB70" s="54">
        <f>SUM(AB72:AB185)</f>
        <v>-50847.34</v>
      </c>
      <c r="AC70" s="54">
        <f>SUM(AC72:AC185)</f>
        <v>92.7</v>
      </c>
      <c r="AD70" s="133">
        <f t="shared" ref="AD70:AD134" si="51">SUM(Z70:AC70)</f>
        <v>288956.03999999998</v>
      </c>
    </row>
    <row r="71" spans="1:30" ht="12.75" customHeight="1" x14ac:dyDescent="0.25">
      <c r="A71" s="72" t="s">
        <v>54</v>
      </c>
      <c r="B71" s="64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9"/>
      <c r="Z71" s="140"/>
      <c r="AA71" s="140"/>
      <c r="AB71" s="140"/>
      <c r="AC71" s="140"/>
      <c r="AD71" s="127"/>
    </row>
    <row r="72" spans="1:30" ht="15" customHeight="1" x14ac:dyDescent="0.25">
      <c r="A72" s="69" t="s">
        <v>107</v>
      </c>
      <c r="B72" s="68"/>
      <c r="C72" s="22">
        <v>0</v>
      </c>
      <c r="D72" s="22">
        <v>0</v>
      </c>
      <c r="E72" s="22">
        <f>SUM(C72:D72)</f>
        <v>0</v>
      </c>
      <c r="F72" s="22">
        <v>0</v>
      </c>
      <c r="G72" s="22">
        <v>0</v>
      </c>
      <c r="H72" s="22">
        <f>SUM(E72:G72)</f>
        <v>0</v>
      </c>
      <c r="I72" s="22">
        <v>0</v>
      </c>
      <c r="J72" s="22">
        <v>0</v>
      </c>
      <c r="K72" s="22">
        <f t="shared" si="4"/>
        <v>0</v>
      </c>
      <c r="L72" s="22">
        <v>0</v>
      </c>
      <c r="M72" s="22">
        <f>L72-K72</f>
        <v>0</v>
      </c>
      <c r="N72" s="22" t="s">
        <v>46</v>
      </c>
      <c r="O72" s="22">
        <v>0</v>
      </c>
      <c r="P72" s="22">
        <f>L72+O72</f>
        <v>0</v>
      </c>
      <c r="Q72" s="22">
        <v>0</v>
      </c>
      <c r="R72" s="22">
        <v>0</v>
      </c>
      <c r="S72" s="22">
        <f>SUM(P72:R72)</f>
        <v>0</v>
      </c>
      <c r="T72" s="22">
        <v>0</v>
      </c>
      <c r="U72" s="22">
        <v>0</v>
      </c>
      <c r="V72" s="22">
        <v>0</v>
      </c>
      <c r="W72" s="22">
        <f t="shared" si="20"/>
        <v>0</v>
      </c>
      <c r="X72" s="22">
        <v>0</v>
      </c>
      <c r="Y72" s="23">
        <v>0</v>
      </c>
      <c r="Z72" s="140">
        <f t="shared" ref="Z72:Z163" si="52">SUM(W72:Y72)</f>
        <v>0</v>
      </c>
      <c r="AA72" s="140">
        <v>0</v>
      </c>
      <c r="AB72" s="140">
        <v>0</v>
      </c>
      <c r="AC72" s="140">
        <v>0</v>
      </c>
      <c r="AD72" s="127">
        <f t="shared" si="51"/>
        <v>0</v>
      </c>
    </row>
    <row r="73" spans="1:30" ht="15" customHeight="1" x14ac:dyDescent="0.25">
      <c r="A73" s="69" t="s">
        <v>87</v>
      </c>
      <c r="B73" s="68"/>
      <c r="C73" s="22">
        <v>2740</v>
      </c>
      <c r="D73" s="22">
        <f>1100+80</f>
        <v>1180</v>
      </c>
      <c r="E73" s="22">
        <f t="shared" ref="E73:E179" si="53">SUM(C73:D73)</f>
        <v>3920</v>
      </c>
      <c r="F73" s="22">
        <v>750</v>
      </c>
      <c r="G73" s="22">
        <f>-1000</f>
        <v>-1000</v>
      </c>
      <c r="H73" s="22">
        <f t="shared" ref="H73:H76" si="54">SUM(E73:G73)</f>
        <v>3670</v>
      </c>
      <c r="I73" s="22">
        <v>50</v>
      </c>
      <c r="J73" s="22">
        <f>-2</f>
        <v>-2</v>
      </c>
      <c r="K73" s="22">
        <f t="shared" si="4"/>
        <v>3718</v>
      </c>
      <c r="L73" s="22">
        <v>5735</v>
      </c>
      <c r="M73" s="22">
        <f t="shared" ref="M73:M96" si="55">L73-K73</f>
        <v>2017</v>
      </c>
      <c r="N73" s="22">
        <f t="shared" ref="N73:N167" si="56">L73/K73</f>
        <v>1.5424959655728887</v>
      </c>
      <c r="O73" s="22">
        <f>0</f>
        <v>0</v>
      </c>
      <c r="P73" s="22">
        <f t="shared" ref="P73:P185" si="57">L73+O73</f>
        <v>5735</v>
      </c>
      <c r="Q73" s="22">
        <v>0</v>
      </c>
      <c r="R73" s="22">
        <f>705-555</f>
        <v>150</v>
      </c>
      <c r="S73" s="22">
        <f t="shared" ref="S73:S181" si="58">SUM(P73:R73)</f>
        <v>5885</v>
      </c>
      <c r="T73" s="22">
        <v>0</v>
      </c>
      <c r="U73" s="22">
        <v>0</v>
      </c>
      <c r="V73" s="22">
        <v>0</v>
      </c>
      <c r="W73" s="22">
        <f t="shared" si="20"/>
        <v>5885</v>
      </c>
      <c r="X73" s="22">
        <v>0</v>
      </c>
      <c r="Y73" s="23">
        <f>0-180</f>
        <v>-180</v>
      </c>
      <c r="Z73" s="140">
        <f t="shared" si="52"/>
        <v>5705</v>
      </c>
      <c r="AA73" s="140">
        <f>37</f>
        <v>37</v>
      </c>
      <c r="AB73" s="140">
        <v>0</v>
      </c>
      <c r="AC73" s="140">
        <v>0</v>
      </c>
      <c r="AD73" s="127">
        <f t="shared" si="51"/>
        <v>5742</v>
      </c>
    </row>
    <row r="74" spans="1:30" ht="31.5" customHeight="1" x14ac:dyDescent="0.25">
      <c r="A74" s="20" t="s">
        <v>108</v>
      </c>
      <c r="B74" s="68" t="s">
        <v>109</v>
      </c>
      <c r="C74" s="22">
        <v>5800</v>
      </c>
      <c r="D74" s="22">
        <v>0</v>
      </c>
      <c r="E74" s="22">
        <f t="shared" si="53"/>
        <v>5800</v>
      </c>
      <c r="F74" s="22">
        <v>200</v>
      </c>
      <c r="G74" s="22">
        <v>0</v>
      </c>
      <c r="H74" s="22">
        <f t="shared" si="54"/>
        <v>6000</v>
      </c>
      <c r="I74" s="22">
        <v>0</v>
      </c>
      <c r="J74" s="22">
        <v>0</v>
      </c>
      <c r="K74" s="22">
        <f t="shared" si="4"/>
        <v>6000</v>
      </c>
      <c r="L74" s="22">
        <v>6900</v>
      </c>
      <c r="M74" s="22">
        <f t="shared" si="55"/>
        <v>900</v>
      </c>
      <c r="N74" s="22">
        <f t="shared" si="56"/>
        <v>1.1499999999999999</v>
      </c>
      <c r="O74" s="22">
        <v>0</v>
      </c>
      <c r="P74" s="22">
        <f t="shared" si="57"/>
        <v>6900</v>
      </c>
      <c r="Q74" s="22">
        <v>0</v>
      </c>
      <c r="R74" s="22">
        <v>0</v>
      </c>
      <c r="S74" s="22">
        <f t="shared" si="58"/>
        <v>6900</v>
      </c>
      <c r="T74" s="22">
        <v>0</v>
      </c>
      <c r="U74" s="22">
        <v>0</v>
      </c>
      <c r="V74" s="22">
        <v>0</v>
      </c>
      <c r="W74" s="22">
        <f t="shared" si="20"/>
        <v>6900</v>
      </c>
      <c r="X74" s="22">
        <f>-420</f>
        <v>-420</v>
      </c>
      <c r="Y74" s="23">
        <v>0</v>
      </c>
      <c r="Z74" s="140">
        <f t="shared" si="52"/>
        <v>6480</v>
      </c>
      <c r="AA74" s="140">
        <v>0</v>
      </c>
      <c r="AB74" s="140">
        <v>0</v>
      </c>
      <c r="AC74" s="140">
        <v>0</v>
      </c>
      <c r="AD74" s="127">
        <f t="shared" si="51"/>
        <v>6480</v>
      </c>
    </row>
    <row r="75" spans="1:30" ht="24" customHeight="1" x14ac:dyDescent="0.25">
      <c r="A75" s="20" t="s">
        <v>110</v>
      </c>
      <c r="B75" s="68" t="s">
        <v>111</v>
      </c>
      <c r="C75" s="22">
        <v>1710</v>
      </c>
      <c r="D75" s="22">
        <v>0</v>
      </c>
      <c r="E75" s="22">
        <f t="shared" si="53"/>
        <v>1710</v>
      </c>
      <c r="F75" s="22">
        <v>0</v>
      </c>
      <c r="G75" s="22">
        <v>0</v>
      </c>
      <c r="H75" s="22">
        <f t="shared" si="54"/>
        <v>1710</v>
      </c>
      <c r="I75" s="22">
        <v>0</v>
      </c>
      <c r="J75" s="22">
        <v>0</v>
      </c>
      <c r="K75" s="22">
        <f t="shared" si="4"/>
        <v>1710</v>
      </c>
      <c r="L75" s="22">
        <v>3000</v>
      </c>
      <c r="M75" s="22">
        <f t="shared" si="55"/>
        <v>1290</v>
      </c>
      <c r="N75" s="22">
        <f t="shared" si="56"/>
        <v>1.7543859649122806</v>
      </c>
      <c r="O75" s="22">
        <v>0</v>
      </c>
      <c r="P75" s="22">
        <f t="shared" si="57"/>
        <v>3000</v>
      </c>
      <c r="Q75" s="22">
        <v>0</v>
      </c>
      <c r="R75" s="22">
        <v>0</v>
      </c>
      <c r="S75" s="22">
        <f t="shared" si="58"/>
        <v>3000</v>
      </c>
      <c r="T75" s="22">
        <v>-410</v>
      </c>
      <c r="U75" s="22">
        <v>0</v>
      </c>
      <c r="V75" s="22">
        <v>0</v>
      </c>
      <c r="W75" s="22">
        <f t="shared" si="20"/>
        <v>2590</v>
      </c>
      <c r="X75" s="22">
        <v>0</v>
      </c>
      <c r="Y75" s="23">
        <v>0</v>
      </c>
      <c r="Z75" s="140">
        <f t="shared" si="52"/>
        <v>2590</v>
      </c>
      <c r="AA75" s="140">
        <v>0</v>
      </c>
      <c r="AB75" s="140">
        <v>0</v>
      </c>
      <c r="AC75" s="140">
        <v>0</v>
      </c>
      <c r="AD75" s="127">
        <f t="shared" si="51"/>
        <v>2590</v>
      </c>
    </row>
    <row r="76" spans="1:30" ht="26.25" customHeight="1" x14ac:dyDescent="0.25">
      <c r="A76" s="20" t="s">
        <v>112</v>
      </c>
      <c r="B76" s="68" t="s">
        <v>113</v>
      </c>
      <c r="C76" s="22">
        <v>720</v>
      </c>
      <c r="D76" s="22">
        <v>0</v>
      </c>
      <c r="E76" s="22">
        <f t="shared" si="53"/>
        <v>720</v>
      </c>
      <c r="F76" s="22">
        <v>0</v>
      </c>
      <c r="G76" s="22">
        <v>0</v>
      </c>
      <c r="H76" s="22">
        <f t="shared" si="54"/>
        <v>720</v>
      </c>
      <c r="I76" s="22">
        <v>0</v>
      </c>
      <c r="J76" s="22">
        <v>0</v>
      </c>
      <c r="K76" s="22">
        <f t="shared" si="4"/>
        <v>720</v>
      </c>
      <c r="L76" s="22">
        <v>900</v>
      </c>
      <c r="M76" s="22">
        <f t="shared" si="55"/>
        <v>180</v>
      </c>
      <c r="N76" s="22">
        <f t="shared" si="56"/>
        <v>1.25</v>
      </c>
      <c r="O76" s="22">
        <v>0</v>
      </c>
      <c r="P76" s="22">
        <f t="shared" si="57"/>
        <v>900</v>
      </c>
      <c r="Q76" s="22">
        <v>0</v>
      </c>
      <c r="R76" s="22">
        <v>0</v>
      </c>
      <c r="S76" s="22">
        <f t="shared" si="58"/>
        <v>900</v>
      </c>
      <c r="T76" s="22">
        <v>0</v>
      </c>
      <c r="U76" s="22">
        <v>0</v>
      </c>
      <c r="V76" s="22">
        <v>0</v>
      </c>
      <c r="W76" s="22">
        <f t="shared" si="20"/>
        <v>900</v>
      </c>
      <c r="X76" s="22">
        <v>0</v>
      </c>
      <c r="Y76" s="23">
        <v>0</v>
      </c>
      <c r="Z76" s="140">
        <f t="shared" si="52"/>
        <v>900</v>
      </c>
      <c r="AA76" s="140">
        <v>0</v>
      </c>
      <c r="AB76" s="140">
        <v>0</v>
      </c>
      <c r="AC76" s="140">
        <v>0</v>
      </c>
      <c r="AD76" s="127">
        <f t="shared" si="51"/>
        <v>900</v>
      </c>
    </row>
    <row r="77" spans="1:30" ht="15" customHeight="1" x14ac:dyDescent="0.25">
      <c r="A77" s="69" t="s">
        <v>114</v>
      </c>
      <c r="B77" s="58" t="s">
        <v>115</v>
      </c>
      <c r="C77" s="22">
        <v>31540</v>
      </c>
      <c r="D77" s="22">
        <v>0</v>
      </c>
      <c r="E77" s="22">
        <f t="shared" si="53"/>
        <v>31540</v>
      </c>
      <c r="F77" s="22">
        <f>900+0</f>
        <v>900</v>
      </c>
      <c r="G77" s="22">
        <v>0</v>
      </c>
      <c r="H77" s="22">
        <f>SUM(E77:G77)</f>
        <v>32440</v>
      </c>
      <c r="I77" s="22">
        <v>300</v>
      </c>
      <c r="J77" s="22">
        <v>0</v>
      </c>
      <c r="K77" s="22">
        <f t="shared" si="4"/>
        <v>32740</v>
      </c>
      <c r="L77" s="73">
        <v>39495</v>
      </c>
      <c r="M77" s="22">
        <f t="shared" si="55"/>
        <v>6755</v>
      </c>
      <c r="N77" s="22">
        <f t="shared" si="56"/>
        <v>1.2063225412339647</v>
      </c>
      <c r="O77" s="22">
        <v>0</v>
      </c>
      <c r="P77" s="22">
        <f t="shared" si="57"/>
        <v>39495</v>
      </c>
      <c r="Q77" s="22">
        <v>3399</v>
      </c>
      <c r="R77" s="22">
        <v>0</v>
      </c>
      <c r="S77" s="22">
        <f t="shared" si="58"/>
        <v>42894</v>
      </c>
      <c r="T77" s="22">
        <v>0</v>
      </c>
      <c r="U77" s="22">
        <v>0</v>
      </c>
      <c r="V77" s="22">
        <v>0</v>
      </c>
      <c r="W77" s="22">
        <f t="shared" si="20"/>
        <v>42894</v>
      </c>
      <c r="X77" s="22">
        <f>868.67+247</f>
        <v>1115.67</v>
      </c>
      <c r="Y77" s="23">
        <v>0</v>
      </c>
      <c r="Z77" s="140">
        <f t="shared" si="52"/>
        <v>44009.67</v>
      </c>
      <c r="AA77" s="140">
        <v>0</v>
      </c>
      <c r="AB77" s="140">
        <v>0</v>
      </c>
      <c r="AC77" s="140">
        <v>0</v>
      </c>
      <c r="AD77" s="127">
        <f t="shared" si="51"/>
        <v>44009.67</v>
      </c>
    </row>
    <row r="78" spans="1:30" ht="15" customHeight="1" x14ac:dyDescent="0.25">
      <c r="A78" s="69" t="s">
        <v>116</v>
      </c>
      <c r="B78" s="68" t="s">
        <v>94</v>
      </c>
      <c r="C78" s="22">
        <v>2638</v>
      </c>
      <c r="D78" s="22">
        <v>0</v>
      </c>
      <c r="E78" s="22">
        <f t="shared" si="53"/>
        <v>2638</v>
      </c>
      <c r="F78" s="22">
        <v>0</v>
      </c>
      <c r="G78" s="22">
        <v>0</v>
      </c>
      <c r="H78" s="22">
        <f t="shared" ref="H78:H185" si="59">SUM(E78:G78)</f>
        <v>2638</v>
      </c>
      <c r="I78" s="22">
        <v>150</v>
      </c>
      <c r="J78" s="22">
        <v>0</v>
      </c>
      <c r="K78" s="22">
        <f t="shared" si="4"/>
        <v>2788</v>
      </c>
      <c r="L78" s="73">
        <v>3531</v>
      </c>
      <c r="M78" s="22">
        <f t="shared" si="55"/>
        <v>743</v>
      </c>
      <c r="N78" s="22">
        <f t="shared" si="56"/>
        <v>1.2664992826398853</v>
      </c>
      <c r="O78" s="22">
        <v>0</v>
      </c>
      <c r="P78" s="40">
        <f t="shared" si="57"/>
        <v>3531</v>
      </c>
      <c r="Q78" s="22">
        <v>256</v>
      </c>
      <c r="R78" s="22">
        <v>0</v>
      </c>
      <c r="S78" s="40">
        <f t="shared" si="58"/>
        <v>3787</v>
      </c>
      <c r="T78" s="40">
        <v>0</v>
      </c>
      <c r="U78" s="40">
        <v>0</v>
      </c>
      <c r="V78" s="40">
        <v>0</v>
      </c>
      <c r="W78" s="22">
        <f>SUM(S78:V78)</f>
        <v>3787</v>
      </c>
      <c r="X78" s="22">
        <v>0</v>
      </c>
      <c r="Y78" s="23">
        <v>0</v>
      </c>
      <c r="Z78" s="140">
        <f t="shared" si="52"/>
        <v>3787</v>
      </c>
      <c r="AA78" s="140">
        <v>0</v>
      </c>
      <c r="AB78" s="140">
        <f>30</f>
        <v>30</v>
      </c>
      <c r="AC78" s="140">
        <v>0</v>
      </c>
      <c r="AD78" s="127">
        <f t="shared" si="51"/>
        <v>3817</v>
      </c>
    </row>
    <row r="79" spans="1:30" ht="15" customHeight="1" x14ac:dyDescent="0.25">
      <c r="A79" s="69" t="s">
        <v>117</v>
      </c>
      <c r="B79" s="68" t="s">
        <v>75</v>
      </c>
      <c r="C79" s="22"/>
      <c r="D79" s="22"/>
      <c r="E79" s="22"/>
      <c r="F79" s="22"/>
      <c r="G79" s="22"/>
      <c r="H79" s="22"/>
      <c r="I79" s="22"/>
      <c r="J79" s="22"/>
      <c r="K79" s="22"/>
      <c r="L79" s="73">
        <v>0</v>
      </c>
      <c r="M79" s="22"/>
      <c r="N79" s="22"/>
      <c r="O79" s="22"/>
      <c r="P79" s="40"/>
      <c r="Q79" s="22"/>
      <c r="R79" s="22"/>
      <c r="S79" s="40">
        <v>0</v>
      </c>
      <c r="T79" s="40">
        <v>0</v>
      </c>
      <c r="U79" s="40">
        <v>0</v>
      </c>
      <c r="V79" s="40">
        <f>40.1-15.14</f>
        <v>24.96</v>
      </c>
      <c r="W79" s="22">
        <f>SUM(S79:V79)+0.01</f>
        <v>24.970000000000002</v>
      </c>
      <c r="X79" s="22">
        <v>0</v>
      </c>
      <c r="Y79" s="23">
        <v>0</v>
      </c>
      <c r="Z79" s="140">
        <f t="shared" si="52"/>
        <v>24.970000000000002</v>
      </c>
      <c r="AA79" s="140">
        <v>0</v>
      </c>
      <c r="AB79" s="140">
        <v>0</v>
      </c>
      <c r="AC79" s="140">
        <v>0</v>
      </c>
      <c r="AD79" s="127">
        <f t="shared" si="51"/>
        <v>24.970000000000002</v>
      </c>
    </row>
    <row r="80" spans="1:30" ht="15" customHeight="1" x14ac:dyDescent="0.25">
      <c r="A80" s="69" t="s">
        <v>432</v>
      </c>
      <c r="B80" s="68" t="s">
        <v>417</v>
      </c>
      <c r="C80" s="22"/>
      <c r="D80" s="22"/>
      <c r="E80" s="22"/>
      <c r="F80" s="22"/>
      <c r="G80" s="22"/>
      <c r="H80" s="22"/>
      <c r="I80" s="22"/>
      <c r="J80" s="22"/>
      <c r="K80" s="22"/>
      <c r="L80" s="73">
        <v>0</v>
      </c>
      <c r="M80" s="22"/>
      <c r="N80" s="22"/>
      <c r="O80" s="22"/>
      <c r="P80" s="40"/>
      <c r="Q80" s="22"/>
      <c r="R80" s="22"/>
      <c r="S80" s="40"/>
      <c r="T80" s="40"/>
      <c r="U80" s="40"/>
      <c r="V80" s="40"/>
      <c r="W80" s="22"/>
      <c r="X80" s="22"/>
      <c r="Y80" s="23"/>
      <c r="Z80" s="140">
        <v>0</v>
      </c>
      <c r="AA80" s="140">
        <f>53.03</f>
        <v>53.03</v>
      </c>
      <c r="AB80" s="140">
        <v>0</v>
      </c>
      <c r="AC80" s="140">
        <v>0</v>
      </c>
      <c r="AD80" s="127">
        <f t="shared" si="51"/>
        <v>53.03</v>
      </c>
    </row>
    <row r="81" spans="1:30" ht="15" customHeight="1" x14ac:dyDescent="0.25">
      <c r="A81" s="69" t="s">
        <v>433</v>
      </c>
      <c r="B81" s="68" t="s">
        <v>417</v>
      </c>
      <c r="C81" s="22"/>
      <c r="D81" s="22"/>
      <c r="E81" s="22"/>
      <c r="F81" s="22"/>
      <c r="G81" s="22"/>
      <c r="H81" s="22"/>
      <c r="I81" s="22"/>
      <c r="J81" s="22"/>
      <c r="K81" s="22"/>
      <c r="L81" s="73">
        <v>0</v>
      </c>
      <c r="M81" s="22"/>
      <c r="N81" s="22"/>
      <c r="O81" s="22"/>
      <c r="P81" s="40"/>
      <c r="Q81" s="22"/>
      <c r="R81" s="22"/>
      <c r="S81" s="40"/>
      <c r="T81" s="40"/>
      <c r="U81" s="40"/>
      <c r="V81" s="40"/>
      <c r="W81" s="22"/>
      <c r="X81" s="22"/>
      <c r="Y81" s="23"/>
      <c r="Z81" s="140">
        <v>0</v>
      </c>
      <c r="AA81" s="140">
        <f>5.9</f>
        <v>5.9</v>
      </c>
      <c r="AB81" s="140">
        <v>0</v>
      </c>
      <c r="AC81" s="140">
        <v>0</v>
      </c>
      <c r="AD81" s="127">
        <f t="shared" si="51"/>
        <v>5.9</v>
      </c>
    </row>
    <row r="82" spans="1:30" ht="15" customHeight="1" x14ac:dyDescent="0.25">
      <c r="A82" s="69" t="s">
        <v>118</v>
      </c>
      <c r="B82" s="68" t="s">
        <v>94</v>
      </c>
      <c r="C82" s="22">
        <v>3651</v>
      </c>
      <c r="D82" s="22">
        <v>0</v>
      </c>
      <c r="E82" s="22">
        <f t="shared" si="53"/>
        <v>3651</v>
      </c>
      <c r="F82" s="22">
        <v>0</v>
      </c>
      <c r="G82" s="22">
        <v>0</v>
      </c>
      <c r="H82" s="22">
        <f t="shared" si="59"/>
        <v>3651</v>
      </c>
      <c r="I82" s="22">
        <v>150</v>
      </c>
      <c r="J82" s="22">
        <v>0</v>
      </c>
      <c r="K82" s="22">
        <f t="shared" ref="K82:K180" si="60">SUM(H82:J82)</f>
        <v>3801</v>
      </c>
      <c r="L82" s="73">
        <v>4382</v>
      </c>
      <c r="M82" s="22">
        <f t="shared" si="55"/>
        <v>581</v>
      </c>
      <c r="N82" s="22">
        <f t="shared" si="56"/>
        <v>1.152854511970534</v>
      </c>
      <c r="O82" s="22">
        <v>0</v>
      </c>
      <c r="P82" s="40">
        <f t="shared" si="57"/>
        <v>4382</v>
      </c>
      <c r="Q82" s="22">
        <v>257</v>
      </c>
      <c r="R82" s="22">
        <v>0</v>
      </c>
      <c r="S82" s="40">
        <f t="shared" si="58"/>
        <v>4639</v>
      </c>
      <c r="T82" s="40">
        <v>0</v>
      </c>
      <c r="U82" s="40">
        <v>0</v>
      </c>
      <c r="V82" s="40">
        <v>0</v>
      </c>
      <c r="W82" s="22">
        <f t="shared" si="20"/>
        <v>4639</v>
      </c>
      <c r="X82" s="22">
        <v>0</v>
      </c>
      <c r="Y82" s="23">
        <v>0</v>
      </c>
      <c r="Z82" s="140">
        <f t="shared" si="52"/>
        <v>4639</v>
      </c>
      <c r="AA82" s="140">
        <v>0</v>
      </c>
      <c r="AB82" s="140">
        <v>0</v>
      </c>
      <c r="AC82" s="140">
        <v>0</v>
      </c>
      <c r="AD82" s="127">
        <f t="shared" si="51"/>
        <v>4639</v>
      </c>
    </row>
    <row r="83" spans="1:30" ht="15" customHeight="1" x14ac:dyDescent="0.25">
      <c r="A83" s="69" t="s">
        <v>422</v>
      </c>
      <c r="B83" s="68" t="s">
        <v>417</v>
      </c>
      <c r="C83" s="22"/>
      <c r="D83" s="22"/>
      <c r="E83" s="22"/>
      <c r="F83" s="22"/>
      <c r="G83" s="22"/>
      <c r="H83" s="22"/>
      <c r="I83" s="22"/>
      <c r="J83" s="22"/>
      <c r="K83" s="22"/>
      <c r="L83" s="73">
        <v>0</v>
      </c>
      <c r="M83" s="22"/>
      <c r="N83" s="22"/>
      <c r="O83" s="22"/>
      <c r="P83" s="40"/>
      <c r="Q83" s="22"/>
      <c r="R83" s="22"/>
      <c r="S83" s="40"/>
      <c r="T83" s="40"/>
      <c r="U83" s="40"/>
      <c r="V83" s="40"/>
      <c r="W83" s="22"/>
      <c r="X83" s="22"/>
      <c r="Y83" s="23"/>
      <c r="Z83" s="140">
        <v>0</v>
      </c>
      <c r="AA83" s="140">
        <f>126.08</f>
        <v>126.08</v>
      </c>
      <c r="AB83" s="140">
        <v>0</v>
      </c>
      <c r="AC83" s="140">
        <v>0</v>
      </c>
      <c r="AD83" s="127">
        <f t="shared" si="51"/>
        <v>126.08</v>
      </c>
    </row>
    <row r="84" spans="1:30" ht="15" customHeight="1" x14ac:dyDescent="0.25">
      <c r="A84" s="69" t="s">
        <v>423</v>
      </c>
      <c r="B84" s="68" t="s">
        <v>417</v>
      </c>
      <c r="C84" s="22"/>
      <c r="D84" s="22"/>
      <c r="E84" s="22"/>
      <c r="F84" s="22"/>
      <c r="G84" s="22"/>
      <c r="H84" s="22"/>
      <c r="I84" s="22"/>
      <c r="J84" s="22"/>
      <c r="K84" s="22"/>
      <c r="L84" s="73">
        <v>0</v>
      </c>
      <c r="M84" s="22"/>
      <c r="N84" s="22"/>
      <c r="O84" s="22"/>
      <c r="P84" s="40"/>
      <c r="Q84" s="22"/>
      <c r="R84" s="22"/>
      <c r="S84" s="40"/>
      <c r="T84" s="40"/>
      <c r="U84" s="40"/>
      <c r="V84" s="40"/>
      <c r="W84" s="22"/>
      <c r="X84" s="22"/>
      <c r="Y84" s="23"/>
      <c r="Z84" s="140">
        <v>0</v>
      </c>
      <c r="AA84" s="140">
        <f>14.01</f>
        <v>14.01</v>
      </c>
      <c r="AB84" s="140">
        <v>0</v>
      </c>
      <c r="AC84" s="140">
        <v>0</v>
      </c>
      <c r="AD84" s="127">
        <f t="shared" si="51"/>
        <v>14.01</v>
      </c>
    </row>
    <row r="85" spans="1:30" ht="23.25" customHeight="1" x14ac:dyDescent="0.25">
      <c r="A85" s="20" t="s">
        <v>119</v>
      </c>
      <c r="B85" s="68" t="s">
        <v>94</v>
      </c>
      <c r="C85" s="22">
        <v>864</v>
      </c>
      <c r="D85" s="22">
        <v>0</v>
      </c>
      <c r="E85" s="22">
        <f t="shared" si="53"/>
        <v>864</v>
      </c>
      <c r="F85" s="22">
        <v>0</v>
      </c>
      <c r="G85" s="22">
        <v>0</v>
      </c>
      <c r="H85" s="22">
        <f t="shared" si="59"/>
        <v>864</v>
      </c>
      <c r="I85" s="22">
        <v>0</v>
      </c>
      <c r="J85" s="22">
        <v>0</v>
      </c>
      <c r="K85" s="22">
        <f t="shared" si="60"/>
        <v>864</v>
      </c>
      <c r="L85" s="73">
        <v>1725</v>
      </c>
      <c r="M85" s="22">
        <f t="shared" si="55"/>
        <v>861</v>
      </c>
      <c r="N85" s="22">
        <f t="shared" si="56"/>
        <v>1.9965277777777777</v>
      </c>
      <c r="O85" s="22">
        <v>0</v>
      </c>
      <c r="P85" s="40">
        <f t="shared" si="57"/>
        <v>1725</v>
      </c>
      <c r="Q85" s="22">
        <v>50</v>
      </c>
      <c r="R85" s="22">
        <v>0</v>
      </c>
      <c r="S85" s="40">
        <f t="shared" si="58"/>
        <v>1775</v>
      </c>
      <c r="T85" s="40">
        <v>0</v>
      </c>
      <c r="U85" s="40">
        <v>0</v>
      </c>
      <c r="V85" s="40">
        <v>0</v>
      </c>
      <c r="W85" s="22">
        <f t="shared" si="20"/>
        <v>1775</v>
      </c>
      <c r="X85" s="22">
        <v>0</v>
      </c>
      <c r="Y85" s="23">
        <v>0</v>
      </c>
      <c r="Z85" s="140">
        <f t="shared" si="52"/>
        <v>1775</v>
      </c>
      <c r="AA85" s="140">
        <v>0</v>
      </c>
      <c r="AB85" s="140">
        <v>0</v>
      </c>
      <c r="AC85" s="140">
        <v>0</v>
      </c>
      <c r="AD85" s="127">
        <f t="shared" si="51"/>
        <v>1775</v>
      </c>
    </row>
    <row r="86" spans="1:30" ht="15" customHeight="1" x14ac:dyDescent="0.25">
      <c r="A86" s="20" t="s">
        <v>120</v>
      </c>
      <c r="B86" s="68" t="s">
        <v>94</v>
      </c>
      <c r="C86" s="22">
        <v>2940</v>
      </c>
      <c r="D86" s="22">
        <v>0</v>
      </c>
      <c r="E86" s="22">
        <f t="shared" si="53"/>
        <v>2940</v>
      </c>
      <c r="F86" s="22">
        <v>0</v>
      </c>
      <c r="G86" s="22">
        <v>0</v>
      </c>
      <c r="H86" s="22">
        <f t="shared" si="59"/>
        <v>2940</v>
      </c>
      <c r="I86" s="22">
        <v>235</v>
      </c>
      <c r="J86" s="22">
        <v>0</v>
      </c>
      <c r="K86" s="22">
        <f t="shared" si="60"/>
        <v>3175</v>
      </c>
      <c r="L86" s="73">
        <v>4502</v>
      </c>
      <c r="M86" s="22">
        <f t="shared" si="55"/>
        <v>1327</v>
      </c>
      <c r="N86" s="22">
        <f t="shared" si="56"/>
        <v>1.4179527559055118</v>
      </c>
      <c r="O86" s="22">
        <v>0</v>
      </c>
      <c r="P86" s="40">
        <f t="shared" si="57"/>
        <v>4502</v>
      </c>
      <c r="Q86" s="22">
        <v>140</v>
      </c>
      <c r="R86" s="22">
        <v>0</v>
      </c>
      <c r="S86" s="40">
        <f t="shared" si="58"/>
        <v>4642</v>
      </c>
      <c r="T86" s="40">
        <v>50</v>
      </c>
      <c r="U86" s="40">
        <v>0</v>
      </c>
      <c r="V86" s="40">
        <v>0</v>
      </c>
      <c r="W86" s="22">
        <f t="shared" si="20"/>
        <v>4692</v>
      </c>
      <c r="X86" s="22">
        <f>100</f>
        <v>100</v>
      </c>
      <c r="Y86" s="23">
        <v>0</v>
      </c>
      <c r="Z86" s="140">
        <f t="shared" si="52"/>
        <v>4792</v>
      </c>
      <c r="AA86" s="140">
        <v>0</v>
      </c>
      <c r="AB86" s="140">
        <f>17</f>
        <v>17</v>
      </c>
      <c r="AC86" s="140">
        <v>0</v>
      </c>
      <c r="AD86" s="127">
        <f t="shared" si="51"/>
        <v>4809</v>
      </c>
    </row>
    <row r="87" spans="1:30" ht="15" customHeight="1" x14ac:dyDescent="0.25">
      <c r="A87" s="20" t="s">
        <v>440</v>
      </c>
      <c r="B87" s="68" t="s">
        <v>417</v>
      </c>
      <c r="C87" s="22"/>
      <c r="D87" s="22"/>
      <c r="E87" s="22"/>
      <c r="F87" s="22"/>
      <c r="G87" s="22"/>
      <c r="H87" s="22"/>
      <c r="I87" s="22"/>
      <c r="J87" s="22"/>
      <c r="K87" s="22"/>
      <c r="L87" s="73">
        <v>0</v>
      </c>
      <c r="M87" s="22"/>
      <c r="N87" s="22"/>
      <c r="O87" s="22"/>
      <c r="P87" s="40"/>
      <c r="Q87" s="22"/>
      <c r="R87" s="22"/>
      <c r="S87" s="40"/>
      <c r="T87" s="40"/>
      <c r="U87" s="40"/>
      <c r="V87" s="40"/>
      <c r="W87" s="22"/>
      <c r="X87" s="22"/>
      <c r="Y87" s="23"/>
      <c r="Z87" s="140">
        <v>0</v>
      </c>
      <c r="AA87" s="140">
        <f>52.29</f>
        <v>52.29</v>
      </c>
      <c r="AB87" s="140">
        <v>0</v>
      </c>
      <c r="AC87" s="140">
        <v>0</v>
      </c>
      <c r="AD87" s="127">
        <f t="shared" si="51"/>
        <v>52.29</v>
      </c>
    </row>
    <row r="88" spans="1:30" ht="15" customHeight="1" x14ac:dyDescent="0.25">
      <c r="A88" s="20" t="s">
        <v>441</v>
      </c>
      <c r="B88" s="68" t="s">
        <v>417</v>
      </c>
      <c r="C88" s="22"/>
      <c r="D88" s="22"/>
      <c r="E88" s="22"/>
      <c r="F88" s="22"/>
      <c r="G88" s="22"/>
      <c r="H88" s="22"/>
      <c r="I88" s="22"/>
      <c r="J88" s="22"/>
      <c r="K88" s="22"/>
      <c r="L88" s="73">
        <v>0</v>
      </c>
      <c r="M88" s="22"/>
      <c r="N88" s="22"/>
      <c r="O88" s="22"/>
      <c r="P88" s="40"/>
      <c r="Q88" s="22"/>
      <c r="R88" s="22"/>
      <c r="S88" s="40"/>
      <c r="T88" s="40"/>
      <c r="U88" s="40"/>
      <c r="V88" s="40"/>
      <c r="W88" s="22"/>
      <c r="X88" s="22"/>
      <c r="Y88" s="23"/>
      <c r="Z88" s="140">
        <v>0</v>
      </c>
      <c r="AA88" s="140">
        <f>5.81</f>
        <v>5.81</v>
      </c>
      <c r="AB88" s="140">
        <v>0</v>
      </c>
      <c r="AC88" s="140">
        <v>0</v>
      </c>
      <c r="AD88" s="127">
        <f t="shared" si="51"/>
        <v>5.81</v>
      </c>
    </row>
    <row r="89" spans="1:30" ht="15" customHeight="1" x14ac:dyDescent="0.25">
      <c r="A89" s="20" t="s">
        <v>121</v>
      </c>
      <c r="B89" s="68" t="s">
        <v>75</v>
      </c>
      <c r="C89" s="22"/>
      <c r="D89" s="22"/>
      <c r="E89" s="22"/>
      <c r="F89" s="22"/>
      <c r="G89" s="22"/>
      <c r="H89" s="22"/>
      <c r="I89" s="22"/>
      <c r="J89" s="22"/>
      <c r="K89" s="22"/>
      <c r="L89" s="73">
        <v>0</v>
      </c>
      <c r="M89" s="22"/>
      <c r="N89" s="22"/>
      <c r="O89" s="22"/>
      <c r="P89" s="40"/>
      <c r="Q89" s="22"/>
      <c r="R89" s="22"/>
      <c r="S89" s="40">
        <v>0</v>
      </c>
      <c r="T89" s="40">
        <v>0</v>
      </c>
      <c r="U89" s="40">
        <v>0</v>
      </c>
      <c r="V89" s="40">
        <f>28.43</f>
        <v>28.43</v>
      </c>
      <c r="W89" s="22">
        <f>SUM(S89:V89)-16.04+0.01</f>
        <v>12.4</v>
      </c>
      <c r="X89" s="22">
        <v>0</v>
      </c>
      <c r="Y89" s="23">
        <v>0</v>
      </c>
      <c r="Z89" s="140">
        <f t="shared" si="52"/>
        <v>12.4</v>
      </c>
      <c r="AA89" s="140">
        <v>0</v>
      </c>
      <c r="AB89" s="140">
        <v>0</v>
      </c>
      <c r="AC89" s="140">
        <v>0</v>
      </c>
      <c r="AD89" s="127">
        <f t="shared" si="51"/>
        <v>12.4</v>
      </c>
    </row>
    <row r="90" spans="1:30" ht="15" customHeight="1" x14ac:dyDescent="0.25">
      <c r="A90" s="69" t="s">
        <v>122</v>
      </c>
      <c r="B90" s="68" t="s">
        <v>94</v>
      </c>
      <c r="C90" s="22">
        <v>2964</v>
      </c>
      <c r="D90" s="22">
        <v>0</v>
      </c>
      <c r="E90" s="22">
        <f t="shared" si="53"/>
        <v>2964</v>
      </c>
      <c r="F90" s="22">
        <v>588</v>
      </c>
      <c r="G90" s="22">
        <v>0</v>
      </c>
      <c r="H90" s="22">
        <f t="shared" si="59"/>
        <v>3552</v>
      </c>
      <c r="I90" s="22">
        <v>0</v>
      </c>
      <c r="J90" s="22">
        <v>0</v>
      </c>
      <c r="K90" s="22">
        <f t="shared" si="60"/>
        <v>3552</v>
      </c>
      <c r="L90" s="73">
        <v>4517</v>
      </c>
      <c r="M90" s="22">
        <f t="shared" si="55"/>
        <v>965</v>
      </c>
      <c r="N90" s="22">
        <f t="shared" si="56"/>
        <v>1.271677927927928</v>
      </c>
      <c r="O90" s="22">
        <v>0</v>
      </c>
      <c r="P90" s="40">
        <f t="shared" si="57"/>
        <v>4517</v>
      </c>
      <c r="Q90" s="22">
        <v>90</v>
      </c>
      <c r="R90" s="22">
        <v>0</v>
      </c>
      <c r="S90" s="40">
        <f t="shared" si="58"/>
        <v>4607</v>
      </c>
      <c r="T90" s="40">
        <v>0</v>
      </c>
      <c r="U90" s="40">
        <v>0</v>
      </c>
      <c r="V90" s="40">
        <v>0</v>
      </c>
      <c r="W90" s="22">
        <f t="shared" si="20"/>
        <v>4607</v>
      </c>
      <c r="X90" s="22">
        <v>0</v>
      </c>
      <c r="Y90" s="23">
        <v>0</v>
      </c>
      <c r="Z90" s="140">
        <f t="shared" si="52"/>
        <v>4607</v>
      </c>
      <c r="AA90" s="140">
        <v>0</v>
      </c>
      <c r="AB90" s="140">
        <v>0</v>
      </c>
      <c r="AC90" s="140">
        <v>0</v>
      </c>
      <c r="AD90" s="127">
        <f>SUM(Z90:AC90)</f>
        <v>4607</v>
      </c>
    </row>
    <row r="91" spans="1:30" ht="15" customHeight="1" x14ac:dyDescent="0.25">
      <c r="A91" s="69" t="s">
        <v>447</v>
      </c>
      <c r="B91" s="68" t="s">
        <v>417</v>
      </c>
      <c r="C91" s="22"/>
      <c r="D91" s="22"/>
      <c r="E91" s="22"/>
      <c r="F91" s="22"/>
      <c r="G91" s="22"/>
      <c r="H91" s="22"/>
      <c r="I91" s="22"/>
      <c r="J91" s="22"/>
      <c r="K91" s="22"/>
      <c r="L91" s="73">
        <v>0</v>
      </c>
      <c r="M91" s="22"/>
      <c r="N91" s="22"/>
      <c r="O91" s="22"/>
      <c r="P91" s="40"/>
      <c r="Q91" s="22"/>
      <c r="R91" s="22"/>
      <c r="S91" s="40"/>
      <c r="T91" s="40"/>
      <c r="U91" s="40"/>
      <c r="V91" s="40"/>
      <c r="W91" s="22"/>
      <c r="X91" s="22"/>
      <c r="Y91" s="23"/>
      <c r="Z91" s="140">
        <v>0</v>
      </c>
      <c r="AA91" s="140">
        <v>0</v>
      </c>
      <c r="AB91" s="140">
        <v>0</v>
      </c>
      <c r="AC91" s="140">
        <f>83.43</f>
        <v>83.43</v>
      </c>
      <c r="AD91" s="127">
        <f>SUM(Z91:AC91)</f>
        <v>83.43</v>
      </c>
    </row>
    <row r="92" spans="1:30" ht="15" customHeight="1" x14ac:dyDescent="0.25">
      <c r="A92" s="69" t="s">
        <v>123</v>
      </c>
      <c r="B92" s="68" t="s">
        <v>75</v>
      </c>
      <c r="C92" s="22"/>
      <c r="D92" s="22"/>
      <c r="E92" s="22"/>
      <c r="F92" s="22"/>
      <c r="G92" s="22"/>
      <c r="H92" s="22"/>
      <c r="I92" s="22"/>
      <c r="J92" s="22"/>
      <c r="K92" s="22"/>
      <c r="L92" s="73">
        <v>0</v>
      </c>
      <c r="M92" s="22"/>
      <c r="N92" s="22"/>
      <c r="O92" s="22"/>
      <c r="P92" s="40"/>
      <c r="Q92" s="22"/>
      <c r="R92" s="22"/>
      <c r="S92" s="40">
        <v>0</v>
      </c>
      <c r="T92" s="40">
        <v>0</v>
      </c>
      <c r="U92" s="40">
        <v>0</v>
      </c>
      <c r="V92" s="40">
        <f>43.08</f>
        <v>43.08</v>
      </c>
      <c r="W92" s="22">
        <f>43.08-21.83+0.01</f>
        <v>21.26</v>
      </c>
      <c r="X92" s="22">
        <v>0</v>
      </c>
      <c r="Y92" s="23">
        <v>0</v>
      </c>
      <c r="Z92" s="140">
        <f t="shared" si="52"/>
        <v>21.26</v>
      </c>
      <c r="AA92" s="140">
        <v>0</v>
      </c>
      <c r="AB92" s="140">
        <v>0</v>
      </c>
      <c r="AC92" s="140">
        <v>0</v>
      </c>
      <c r="AD92" s="127">
        <f t="shared" si="51"/>
        <v>21.26</v>
      </c>
    </row>
    <row r="93" spans="1:30" ht="15" customHeight="1" x14ac:dyDescent="0.25">
      <c r="A93" s="69" t="s">
        <v>448</v>
      </c>
      <c r="B93" s="68" t="s">
        <v>417</v>
      </c>
      <c r="C93" s="22"/>
      <c r="D93" s="22"/>
      <c r="E93" s="22"/>
      <c r="F93" s="22"/>
      <c r="G93" s="22"/>
      <c r="H93" s="22"/>
      <c r="I93" s="22"/>
      <c r="J93" s="22"/>
      <c r="K93" s="22"/>
      <c r="L93" s="73">
        <v>0</v>
      </c>
      <c r="M93" s="22"/>
      <c r="N93" s="22"/>
      <c r="O93" s="22"/>
      <c r="P93" s="40"/>
      <c r="Q93" s="22"/>
      <c r="R93" s="22"/>
      <c r="S93" s="40"/>
      <c r="T93" s="40"/>
      <c r="U93" s="40"/>
      <c r="V93" s="40"/>
      <c r="W93" s="22"/>
      <c r="X93" s="22"/>
      <c r="Y93" s="23"/>
      <c r="Z93" s="140">
        <v>0</v>
      </c>
      <c r="AA93" s="140">
        <v>0</v>
      </c>
      <c r="AB93" s="140">
        <v>0</v>
      </c>
      <c r="AC93" s="140">
        <f>9.27</f>
        <v>9.27</v>
      </c>
      <c r="AD93" s="127">
        <f>SUM(Z93:AC93)</f>
        <v>9.27</v>
      </c>
    </row>
    <row r="94" spans="1:30" ht="21.75" customHeight="1" x14ac:dyDescent="0.25">
      <c r="A94" s="20" t="s">
        <v>124</v>
      </c>
      <c r="B94" s="68" t="s">
        <v>94</v>
      </c>
      <c r="C94" s="22">
        <v>317</v>
      </c>
      <c r="D94" s="22">
        <v>0</v>
      </c>
      <c r="E94" s="22">
        <f t="shared" si="53"/>
        <v>317</v>
      </c>
      <c r="F94" s="22">
        <v>0</v>
      </c>
      <c r="G94" s="22">
        <v>0</v>
      </c>
      <c r="H94" s="22">
        <f t="shared" si="59"/>
        <v>317</v>
      </c>
      <c r="I94" s="22">
        <v>150</v>
      </c>
      <c r="J94" s="22">
        <v>0</v>
      </c>
      <c r="K94" s="22">
        <f t="shared" si="60"/>
        <v>467</v>
      </c>
      <c r="L94" s="73">
        <v>382</v>
      </c>
      <c r="M94" s="22">
        <f t="shared" si="55"/>
        <v>-85</v>
      </c>
      <c r="N94" s="22">
        <f t="shared" si="56"/>
        <v>0.8179871520342612</v>
      </c>
      <c r="O94" s="22">
        <v>0</v>
      </c>
      <c r="P94" s="40">
        <f t="shared" si="57"/>
        <v>382</v>
      </c>
      <c r="Q94" s="22">
        <v>50</v>
      </c>
      <c r="R94" s="22">
        <v>0</v>
      </c>
      <c r="S94" s="40">
        <f t="shared" si="58"/>
        <v>432</v>
      </c>
      <c r="T94" s="40">
        <v>0</v>
      </c>
      <c r="U94" s="40">
        <v>0</v>
      </c>
      <c r="V94" s="40">
        <v>0</v>
      </c>
      <c r="W94" s="22">
        <f t="shared" si="20"/>
        <v>432</v>
      </c>
      <c r="X94" s="22">
        <v>0</v>
      </c>
      <c r="Y94" s="23">
        <v>0</v>
      </c>
      <c r="Z94" s="140">
        <f t="shared" si="52"/>
        <v>432</v>
      </c>
      <c r="AA94" s="140">
        <v>0</v>
      </c>
      <c r="AB94" s="140">
        <v>0</v>
      </c>
      <c r="AC94" s="140">
        <v>0</v>
      </c>
      <c r="AD94" s="127">
        <f t="shared" si="51"/>
        <v>432</v>
      </c>
    </row>
    <row r="95" spans="1:30" ht="15" customHeight="1" x14ac:dyDescent="0.25">
      <c r="A95" s="69" t="s">
        <v>125</v>
      </c>
      <c r="B95" s="68" t="s">
        <v>94</v>
      </c>
      <c r="C95" s="22">
        <v>173</v>
      </c>
      <c r="D95" s="22">
        <v>0</v>
      </c>
      <c r="E95" s="22">
        <f t="shared" si="53"/>
        <v>173</v>
      </c>
      <c r="F95" s="22">
        <v>0</v>
      </c>
      <c r="G95" s="22">
        <v>0</v>
      </c>
      <c r="H95" s="22">
        <f t="shared" si="59"/>
        <v>173</v>
      </c>
      <c r="I95" s="22">
        <v>0</v>
      </c>
      <c r="J95" s="22">
        <v>0</v>
      </c>
      <c r="K95" s="22">
        <f t="shared" si="60"/>
        <v>173</v>
      </c>
      <c r="L95" s="73">
        <v>343</v>
      </c>
      <c r="M95" s="22">
        <f t="shared" si="55"/>
        <v>170</v>
      </c>
      <c r="N95" s="22">
        <f t="shared" si="56"/>
        <v>1.9826589595375723</v>
      </c>
      <c r="O95" s="22">
        <v>0</v>
      </c>
      <c r="P95" s="40">
        <f t="shared" si="57"/>
        <v>343</v>
      </c>
      <c r="Q95" s="22">
        <v>50</v>
      </c>
      <c r="R95" s="22">
        <v>0</v>
      </c>
      <c r="S95" s="40">
        <f t="shared" si="58"/>
        <v>393</v>
      </c>
      <c r="T95" s="40">
        <v>0</v>
      </c>
      <c r="U95" s="40">
        <v>0</v>
      </c>
      <c r="V95" s="40">
        <v>0</v>
      </c>
      <c r="W95" s="22">
        <f t="shared" si="20"/>
        <v>393</v>
      </c>
      <c r="X95" s="22">
        <v>0</v>
      </c>
      <c r="Y95" s="23">
        <v>0</v>
      </c>
      <c r="Z95" s="140">
        <f t="shared" si="52"/>
        <v>393</v>
      </c>
      <c r="AA95" s="140">
        <v>0</v>
      </c>
      <c r="AB95" s="140">
        <f>63</f>
        <v>63</v>
      </c>
      <c r="AC95" s="140">
        <v>0</v>
      </c>
      <c r="AD95" s="127">
        <f t="shared" si="51"/>
        <v>456</v>
      </c>
    </row>
    <row r="96" spans="1:30" ht="15" customHeight="1" x14ac:dyDescent="0.25">
      <c r="A96" s="69" t="s">
        <v>126</v>
      </c>
      <c r="B96" s="68" t="s">
        <v>94</v>
      </c>
      <c r="C96" s="22">
        <v>3367</v>
      </c>
      <c r="D96" s="22">
        <v>0</v>
      </c>
      <c r="E96" s="22">
        <f t="shared" si="53"/>
        <v>3367</v>
      </c>
      <c r="F96" s="22">
        <v>0</v>
      </c>
      <c r="G96" s="22">
        <v>0</v>
      </c>
      <c r="H96" s="22">
        <f t="shared" si="59"/>
        <v>3367</v>
      </c>
      <c r="I96" s="22">
        <v>140</v>
      </c>
      <c r="J96" s="22">
        <v>0</v>
      </c>
      <c r="K96" s="22">
        <f t="shared" si="60"/>
        <v>3507</v>
      </c>
      <c r="L96" s="73">
        <v>4076</v>
      </c>
      <c r="M96" s="22">
        <f t="shared" si="55"/>
        <v>569</v>
      </c>
      <c r="N96" s="22">
        <f t="shared" si="56"/>
        <v>1.1622469347020246</v>
      </c>
      <c r="O96" s="22">
        <v>0</v>
      </c>
      <c r="P96" s="40">
        <f t="shared" si="57"/>
        <v>4076</v>
      </c>
      <c r="Q96" s="22">
        <v>140</v>
      </c>
      <c r="R96" s="22">
        <v>0</v>
      </c>
      <c r="S96" s="40">
        <f t="shared" si="58"/>
        <v>4216</v>
      </c>
      <c r="T96" s="40">
        <v>0</v>
      </c>
      <c r="U96" s="40">
        <v>0</v>
      </c>
      <c r="V96" s="40">
        <v>0</v>
      </c>
      <c r="W96" s="22">
        <f t="shared" si="20"/>
        <v>4216</v>
      </c>
      <c r="X96" s="22">
        <f>50</f>
        <v>50</v>
      </c>
      <c r="Y96" s="23">
        <v>0</v>
      </c>
      <c r="Z96" s="140">
        <f t="shared" si="52"/>
        <v>4266</v>
      </c>
      <c r="AA96" s="140">
        <v>0</v>
      </c>
      <c r="AB96" s="140">
        <v>0</v>
      </c>
      <c r="AC96" s="140">
        <v>0</v>
      </c>
      <c r="AD96" s="127">
        <f t="shared" si="51"/>
        <v>4266</v>
      </c>
    </row>
    <row r="97" spans="1:30" ht="15" customHeight="1" x14ac:dyDescent="0.25">
      <c r="A97" s="69" t="s">
        <v>436</v>
      </c>
      <c r="B97" s="68" t="s">
        <v>417</v>
      </c>
      <c r="C97" s="22"/>
      <c r="D97" s="22"/>
      <c r="E97" s="22"/>
      <c r="F97" s="22"/>
      <c r="G97" s="22"/>
      <c r="H97" s="22"/>
      <c r="I97" s="22"/>
      <c r="J97" s="22"/>
      <c r="K97" s="22"/>
      <c r="L97" s="73">
        <v>0</v>
      </c>
      <c r="M97" s="22"/>
      <c r="N97" s="22"/>
      <c r="O97" s="22"/>
      <c r="P97" s="40"/>
      <c r="Q97" s="22"/>
      <c r="R97" s="22"/>
      <c r="S97" s="40"/>
      <c r="T97" s="40"/>
      <c r="U97" s="40"/>
      <c r="V97" s="40"/>
      <c r="W97" s="22"/>
      <c r="X97" s="22"/>
      <c r="Y97" s="23"/>
      <c r="Z97" s="140">
        <v>0</v>
      </c>
      <c r="AA97" s="140">
        <f>39.87</f>
        <v>39.869999999999997</v>
      </c>
      <c r="AB97" s="140">
        <v>0</v>
      </c>
      <c r="AC97" s="140">
        <v>0</v>
      </c>
      <c r="AD97" s="127">
        <f t="shared" si="51"/>
        <v>39.869999999999997</v>
      </c>
    </row>
    <row r="98" spans="1:30" ht="15" customHeight="1" x14ac:dyDescent="0.25">
      <c r="A98" s="69" t="s">
        <v>437</v>
      </c>
      <c r="B98" s="68" t="s">
        <v>417</v>
      </c>
      <c r="C98" s="22"/>
      <c r="D98" s="22"/>
      <c r="E98" s="22"/>
      <c r="F98" s="22"/>
      <c r="G98" s="22"/>
      <c r="H98" s="22"/>
      <c r="I98" s="22"/>
      <c r="J98" s="22"/>
      <c r="K98" s="22"/>
      <c r="L98" s="73">
        <v>0</v>
      </c>
      <c r="M98" s="22"/>
      <c r="N98" s="22"/>
      <c r="O98" s="22"/>
      <c r="P98" s="40"/>
      <c r="Q98" s="22"/>
      <c r="R98" s="22"/>
      <c r="S98" s="40"/>
      <c r="T98" s="40"/>
      <c r="U98" s="40"/>
      <c r="V98" s="40"/>
      <c r="W98" s="22"/>
      <c r="X98" s="22"/>
      <c r="Y98" s="23"/>
      <c r="Z98" s="140">
        <v>0</v>
      </c>
      <c r="AA98" s="140">
        <f>4.43</f>
        <v>4.43</v>
      </c>
      <c r="AB98" s="140">
        <v>0</v>
      </c>
      <c r="AC98" s="140">
        <v>0</v>
      </c>
      <c r="AD98" s="127">
        <f t="shared" si="51"/>
        <v>4.43</v>
      </c>
    </row>
    <row r="99" spans="1:30" ht="15" customHeight="1" x14ac:dyDescent="0.25">
      <c r="A99" s="69" t="s">
        <v>127</v>
      </c>
      <c r="B99" s="68" t="s">
        <v>94</v>
      </c>
      <c r="C99" s="22">
        <v>246</v>
      </c>
      <c r="D99" s="22">
        <v>0</v>
      </c>
      <c r="E99" s="22">
        <f t="shared" si="53"/>
        <v>246</v>
      </c>
      <c r="F99" s="22">
        <v>0</v>
      </c>
      <c r="G99" s="22">
        <v>0</v>
      </c>
      <c r="H99" s="22">
        <f t="shared" si="59"/>
        <v>246</v>
      </c>
      <c r="I99" s="22">
        <v>0</v>
      </c>
      <c r="J99" s="22">
        <v>0</v>
      </c>
      <c r="K99" s="22">
        <f t="shared" si="60"/>
        <v>246</v>
      </c>
      <c r="L99" s="73">
        <v>385</v>
      </c>
      <c r="M99" s="22">
        <f>L99-K99</f>
        <v>139</v>
      </c>
      <c r="N99" s="22">
        <f t="shared" si="56"/>
        <v>1.565040650406504</v>
      </c>
      <c r="O99" s="22">
        <v>0</v>
      </c>
      <c r="P99" s="40">
        <f t="shared" si="57"/>
        <v>385</v>
      </c>
      <c r="Q99" s="22">
        <v>50</v>
      </c>
      <c r="R99" s="22">
        <v>0</v>
      </c>
      <c r="S99" s="40">
        <f t="shared" si="58"/>
        <v>435</v>
      </c>
      <c r="T99" s="40">
        <v>0</v>
      </c>
      <c r="U99" s="40">
        <v>0</v>
      </c>
      <c r="V99" s="40">
        <v>0</v>
      </c>
      <c r="W99" s="22">
        <f t="shared" si="20"/>
        <v>435</v>
      </c>
      <c r="X99" s="22">
        <v>0</v>
      </c>
      <c r="Y99" s="23">
        <v>0</v>
      </c>
      <c r="Z99" s="140">
        <f t="shared" si="52"/>
        <v>435</v>
      </c>
      <c r="AA99" s="140">
        <v>0</v>
      </c>
      <c r="AB99" s="140">
        <v>0</v>
      </c>
      <c r="AC99" s="140">
        <v>0</v>
      </c>
      <c r="AD99" s="127">
        <f t="shared" si="51"/>
        <v>435</v>
      </c>
    </row>
    <row r="100" spans="1:30" ht="15" customHeight="1" x14ac:dyDescent="0.25">
      <c r="A100" s="69" t="s">
        <v>128</v>
      </c>
      <c r="B100" s="68" t="s">
        <v>129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73">
        <v>0</v>
      </c>
      <c r="M100" s="22"/>
      <c r="N100" s="22"/>
      <c r="O100" s="22"/>
      <c r="P100" s="40">
        <v>0</v>
      </c>
      <c r="Q100" s="22">
        <v>0</v>
      </c>
      <c r="R100" s="22">
        <f>968.6</f>
        <v>968.6</v>
      </c>
      <c r="S100" s="40">
        <f>SUM(P100:R100)</f>
        <v>968.6</v>
      </c>
      <c r="T100" s="40">
        <v>0</v>
      </c>
      <c r="U100" s="40">
        <v>0</v>
      </c>
      <c r="V100" s="40">
        <v>0</v>
      </c>
      <c r="W100" s="22">
        <f t="shared" si="20"/>
        <v>968.6</v>
      </c>
      <c r="X100" s="22">
        <v>0</v>
      </c>
      <c r="Y100" s="23">
        <v>0</v>
      </c>
      <c r="Z100" s="140">
        <f t="shared" si="52"/>
        <v>968.6</v>
      </c>
      <c r="AA100" s="140">
        <v>0</v>
      </c>
      <c r="AB100" s="140">
        <v>0</v>
      </c>
      <c r="AC100" s="140">
        <v>0</v>
      </c>
      <c r="AD100" s="127">
        <f t="shared" si="51"/>
        <v>968.6</v>
      </c>
    </row>
    <row r="101" spans="1:30" ht="15" customHeight="1" x14ac:dyDescent="0.25">
      <c r="A101" s="69" t="s">
        <v>130</v>
      </c>
      <c r="B101" s="68" t="s">
        <v>94</v>
      </c>
      <c r="C101" s="22">
        <v>2770</v>
      </c>
      <c r="D101" s="22">
        <v>0</v>
      </c>
      <c r="E101" s="22">
        <f t="shared" si="53"/>
        <v>2770</v>
      </c>
      <c r="F101" s="22">
        <v>0</v>
      </c>
      <c r="G101" s="22">
        <v>0</v>
      </c>
      <c r="H101" s="22">
        <f>SUM(E101:G101)</f>
        <v>2770</v>
      </c>
      <c r="I101" s="22">
        <v>150</v>
      </c>
      <c r="J101" s="22">
        <v>0</v>
      </c>
      <c r="K101" s="22">
        <f t="shared" si="60"/>
        <v>2920</v>
      </c>
      <c r="L101" s="73">
        <v>3311</v>
      </c>
      <c r="M101" s="22">
        <f>L101-K101</f>
        <v>391</v>
      </c>
      <c r="N101" s="22">
        <f t="shared" si="56"/>
        <v>1.1339041095890412</v>
      </c>
      <c r="O101" s="22">
        <v>0</v>
      </c>
      <c r="P101" s="40">
        <f t="shared" si="57"/>
        <v>3311</v>
      </c>
      <c r="Q101" s="22">
        <v>315</v>
      </c>
      <c r="R101" s="22">
        <v>0</v>
      </c>
      <c r="S101" s="40">
        <f t="shared" si="58"/>
        <v>3626</v>
      </c>
      <c r="T101" s="40">
        <v>43.79</v>
      </c>
      <c r="U101" s="40">
        <v>0</v>
      </c>
      <c r="V101" s="40">
        <v>0</v>
      </c>
      <c r="W101" s="22">
        <f t="shared" si="20"/>
        <v>3669.79</v>
      </c>
      <c r="X101" s="22">
        <f>50</f>
        <v>50</v>
      </c>
      <c r="Y101" s="23">
        <v>0</v>
      </c>
      <c r="Z101" s="140">
        <f>SUM(W101:Y101)</f>
        <v>3719.79</v>
      </c>
      <c r="AA101" s="140">
        <v>0</v>
      </c>
      <c r="AB101" s="140">
        <v>0</v>
      </c>
      <c r="AC101" s="140">
        <v>0</v>
      </c>
      <c r="AD101" s="127">
        <f t="shared" si="51"/>
        <v>3719.79</v>
      </c>
    </row>
    <row r="102" spans="1:30" ht="15" customHeight="1" x14ac:dyDescent="0.25">
      <c r="A102" s="69" t="s">
        <v>416</v>
      </c>
      <c r="B102" s="68" t="s">
        <v>417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73">
        <v>0</v>
      </c>
      <c r="M102" s="22"/>
      <c r="N102" s="22"/>
      <c r="O102" s="22"/>
      <c r="P102" s="40"/>
      <c r="Q102" s="22"/>
      <c r="R102" s="22"/>
      <c r="S102" s="40"/>
      <c r="T102" s="40"/>
      <c r="U102" s="40"/>
      <c r="V102" s="40"/>
      <c r="W102" s="22">
        <v>0</v>
      </c>
      <c r="X102" s="22">
        <v>0</v>
      </c>
      <c r="Y102" s="23">
        <f>83.43</f>
        <v>83.43</v>
      </c>
      <c r="Z102" s="140">
        <f>SUM(W102:Y102)</f>
        <v>83.43</v>
      </c>
      <c r="AA102" s="140">
        <v>0</v>
      </c>
      <c r="AB102" s="140">
        <v>0</v>
      </c>
      <c r="AC102" s="140">
        <v>0</v>
      </c>
      <c r="AD102" s="127">
        <f t="shared" si="51"/>
        <v>83.43</v>
      </c>
    </row>
    <row r="103" spans="1:30" ht="15" customHeight="1" x14ac:dyDescent="0.25">
      <c r="A103" s="69" t="s">
        <v>131</v>
      </c>
      <c r="B103" s="68" t="s">
        <v>75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73">
        <v>0</v>
      </c>
      <c r="M103" s="22"/>
      <c r="N103" s="22"/>
      <c r="O103" s="22"/>
      <c r="P103" s="40"/>
      <c r="Q103" s="22"/>
      <c r="R103" s="22"/>
      <c r="S103" s="40">
        <v>0</v>
      </c>
      <c r="T103" s="40">
        <v>0</v>
      </c>
      <c r="U103" s="40">
        <v>0</v>
      </c>
      <c r="V103" s="40">
        <f>25.17-20.18</f>
        <v>4.990000000000002</v>
      </c>
      <c r="W103" s="22">
        <f>SUM(S103:V103)+0.01</f>
        <v>5.0000000000000018</v>
      </c>
      <c r="X103" s="22">
        <v>0</v>
      </c>
      <c r="Y103" s="23">
        <v>0</v>
      </c>
      <c r="Z103" s="140">
        <f t="shared" si="52"/>
        <v>5.0000000000000018</v>
      </c>
      <c r="AA103" s="140">
        <v>0</v>
      </c>
      <c r="AB103" s="140">
        <v>0</v>
      </c>
      <c r="AC103" s="140">
        <v>0</v>
      </c>
      <c r="AD103" s="127">
        <f t="shared" si="51"/>
        <v>5.0000000000000018</v>
      </c>
    </row>
    <row r="104" spans="1:30" ht="15" customHeight="1" x14ac:dyDescent="0.25">
      <c r="A104" s="69" t="s">
        <v>418</v>
      </c>
      <c r="B104" s="68" t="s">
        <v>417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73">
        <v>0</v>
      </c>
      <c r="M104" s="22"/>
      <c r="N104" s="22"/>
      <c r="O104" s="22"/>
      <c r="P104" s="40"/>
      <c r="Q104" s="22"/>
      <c r="R104" s="22"/>
      <c r="S104" s="40"/>
      <c r="T104" s="40"/>
      <c r="U104" s="40"/>
      <c r="V104" s="40"/>
      <c r="W104" s="22">
        <v>0</v>
      </c>
      <c r="X104" s="22">
        <v>0</v>
      </c>
      <c r="Y104" s="23">
        <f>9.27</f>
        <v>9.27</v>
      </c>
      <c r="Z104" s="140">
        <f>SUM(W104:Y104)</f>
        <v>9.27</v>
      </c>
      <c r="AA104" s="140">
        <v>0</v>
      </c>
      <c r="AB104" s="140">
        <v>0</v>
      </c>
      <c r="AC104" s="140">
        <v>0</v>
      </c>
      <c r="AD104" s="127">
        <f t="shared" si="51"/>
        <v>9.27</v>
      </c>
    </row>
    <row r="105" spans="1:30" ht="15" customHeight="1" x14ac:dyDescent="0.25">
      <c r="A105" s="69" t="s">
        <v>132</v>
      </c>
      <c r="B105" s="68" t="s">
        <v>94</v>
      </c>
      <c r="C105" s="22">
        <v>1808</v>
      </c>
      <c r="D105" s="22">
        <v>0</v>
      </c>
      <c r="E105" s="22">
        <f t="shared" si="53"/>
        <v>1808</v>
      </c>
      <c r="F105" s="22">
        <v>666</v>
      </c>
      <c r="G105" s="22">
        <v>0</v>
      </c>
      <c r="H105" s="22">
        <f t="shared" si="59"/>
        <v>2474</v>
      </c>
      <c r="I105" s="22">
        <v>300</v>
      </c>
      <c r="J105" s="22">
        <v>0</v>
      </c>
      <c r="K105" s="22">
        <f t="shared" si="60"/>
        <v>2774</v>
      </c>
      <c r="L105" s="73">
        <v>4374</v>
      </c>
      <c r="M105" s="22">
        <f t="shared" ref="M105:M185" si="61">L105-K105</f>
        <v>1600</v>
      </c>
      <c r="N105" s="22">
        <f t="shared" si="56"/>
        <v>1.5767844268204758</v>
      </c>
      <c r="O105" s="22">
        <v>0</v>
      </c>
      <c r="P105" s="40">
        <f t="shared" si="57"/>
        <v>4374</v>
      </c>
      <c r="Q105" s="22">
        <v>560</v>
      </c>
      <c r="R105" s="22">
        <v>0</v>
      </c>
      <c r="S105" s="40">
        <f>SUM(P105:R105)</f>
        <v>4934</v>
      </c>
      <c r="T105" s="40">
        <v>0</v>
      </c>
      <c r="U105" s="40">
        <v>0</v>
      </c>
      <c r="V105" s="40">
        <v>0</v>
      </c>
      <c r="W105" s="22">
        <f t="shared" si="20"/>
        <v>4934</v>
      </c>
      <c r="X105" s="22">
        <f>600</f>
        <v>600</v>
      </c>
      <c r="Y105" s="23">
        <v>0</v>
      </c>
      <c r="Z105" s="140">
        <f t="shared" si="52"/>
        <v>5534</v>
      </c>
      <c r="AA105" s="140">
        <v>0</v>
      </c>
      <c r="AB105" s="140">
        <v>0</v>
      </c>
      <c r="AC105" s="140">
        <v>0</v>
      </c>
      <c r="AD105" s="127">
        <f t="shared" si="51"/>
        <v>5534</v>
      </c>
    </row>
    <row r="106" spans="1:30" ht="15" customHeight="1" x14ac:dyDescent="0.25">
      <c r="A106" s="69" t="s">
        <v>133</v>
      </c>
      <c r="B106" s="68" t="s">
        <v>134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73">
        <v>0</v>
      </c>
      <c r="M106" s="22"/>
      <c r="N106" s="22"/>
      <c r="O106" s="22">
        <f>792.51</f>
        <v>792.51</v>
      </c>
      <c r="P106" s="40">
        <f t="shared" si="57"/>
        <v>792.51</v>
      </c>
      <c r="Q106" s="22">
        <v>0</v>
      </c>
      <c r="R106" s="22">
        <v>0</v>
      </c>
      <c r="S106" s="40">
        <f t="shared" si="58"/>
        <v>792.51</v>
      </c>
      <c r="T106" s="40">
        <v>0</v>
      </c>
      <c r="U106" s="40">
        <v>0</v>
      </c>
      <c r="V106" s="40">
        <v>0</v>
      </c>
      <c r="W106" s="22">
        <f t="shared" si="20"/>
        <v>792.51</v>
      </c>
      <c r="X106" s="22">
        <v>0</v>
      </c>
      <c r="Y106" s="23">
        <v>0</v>
      </c>
      <c r="Z106" s="140">
        <f t="shared" si="52"/>
        <v>792.51</v>
      </c>
      <c r="AA106" s="140">
        <v>0</v>
      </c>
      <c r="AB106" s="140">
        <v>0</v>
      </c>
      <c r="AC106" s="140">
        <v>0</v>
      </c>
      <c r="AD106" s="127">
        <f t="shared" si="51"/>
        <v>792.51</v>
      </c>
    </row>
    <row r="107" spans="1:30" ht="25.5" customHeight="1" x14ac:dyDescent="0.25">
      <c r="A107" s="20" t="s">
        <v>135</v>
      </c>
      <c r="B107" s="68" t="s">
        <v>94</v>
      </c>
      <c r="C107" s="22">
        <v>6417</v>
      </c>
      <c r="D107" s="22">
        <v>0</v>
      </c>
      <c r="E107" s="22">
        <f t="shared" si="53"/>
        <v>6417</v>
      </c>
      <c r="F107" s="22">
        <v>510</v>
      </c>
      <c r="G107" s="22">
        <v>0</v>
      </c>
      <c r="H107" s="22">
        <f t="shared" si="59"/>
        <v>6927</v>
      </c>
      <c r="I107" s="22">
        <v>250</v>
      </c>
      <c r="J107" s="22">
        <v>0</v>
      </c>
      <c r="K107" s="22">
        <f t="shared" si="60"/>
        <v>7177</v>
      </c>
      <c r="L107" s="73">
        <v>8254</v>
      </c>
      <c r="M107" s="22">
        <f t="shared" si="61"/>
        <v>1077</v>
      </c>
      <c r="N107" s="22">
        <f t="shared" si="56"/>
        <v>1.1500627002926014</v>
      </c>
      <c r="O107" s="22">
        <v>0</v>
      </c>
      <c r="P107" s="40">
        <f t="shared" si="57"/>
        <v>8254</v>
      </c>
      <c r="Q107" s="22">
        <v>518</v>
      </c>
      <c r="R107" s="22">
        <v>0</v>
      </c>
      <c r="S107" s="40">
        <f t="shared" si="58"/>
        <v>8772</v>
      </c>
      <c r="T107" s="40">
        <v>1065</v>
      </c>
      <c r="U107" s="40">
        <v>0</v>
      </c>
      <c r="V107" s="40">
        <v>0</v>
      </c>
      <c r="W107" s="22">
        <f t="shared" ref="W107:W201" si="62">SUM(S107:V107)</f>
        <v>9837</v>
      </c>
      <c r="X107" s="22">
        <f>247</f>
        <v>247</v>
      </c>
      <c r="Y107" s="23">
        <v>0</v>
      </c>
      <c r="Z107" s="140">
        <f t="shared" si="52"/>
        <v>10084</v>
      </c>
      <c r="AA107" s="140">
        <v>0</v>
      </c>
      <c r="AB107" s="140">
        <v>0</v>
      </c>
      <c r="AC107" s="140">
        <v>0</v>
      </c>
      <c r="AD107" s="127">
        <f t="shared" si="51"/>
        <v>10084</v>
      </c>
    </row>
    <row r="108" spans="1:30" ht="24.75" customHeight="1" x14ac:dyDescent="0.25">
      <c r="A108" s="20" t="s">
        <v>136</v>
      </c>
      <c r="B108" s="68" t="s">
        <v>137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73">
        <v>0</v>
      </c>
      <c r="M108" s="22"/>
      <c r="N108" s="22"/>
      <c r="O108" s="22"/>
      <c r="P108" s="40">
        <v>0</v>
      </c>
      <c r="Q108" s="22">
        <v>0</v>
      </c>
      <c r="R108" s="22">
        <f>4252.94</f>
        <v>4252.9399999999996</v>
      </c>
      <c r="S108" s="40">
        <f>SUM(P108:R108)</f>
        <v>4252.9399999999996</v>
      </c>
      <c r="T108" s="40">
        <v>0</v>
      </c>
      <c r="U108" s="40">
        <v>0</v>
      </c>
      <c r="V108" s="40">
        <v>0</v>
      </c>
      <c r="W108" s="22">
        <f t="shared" si="62"/>
        <v>4252.9399999999996</v>
      </c>
      <c r="X108" s="22">
        <v>0</v>
      </c>
      <c r="Y108" s="23">
        <v>0</v>
      </c>
      <c r="Z108" s="140">
        <f t="shared" si="52"/>
        <v>4252.9399999999996</v>
      </c>
      <c r="AA108" s="140">
        <v>0</v>
      </c>
      <c r="AB108" s="140">
        <v>0</v>
      </c>
      <c r="AC108" s="140">
        <v>0</v>
      </c>
      <c r="AD108" s="127">
        <f t="shared" si="51"/>
        <v>4252.9399999999996</v>
      </c>
    </row>
    <row r="109" spans="1:30" ht="15" customHeight="1" x14ac:dyDescent="0.25">
      <c r="A109" s="20" t="s">
        <v>138</v>
      </c>
      <c r="B109" s="68" t="s">
        <v>94</v>
      </c>
      <c r="C109" s="22">
        <v>6103</v>
      </c>
      <c r="D109" s="22">
        <v>0</v>
      </c>
      <c r="E109" s="22">
        <f t="shared" si="53"/>
        <v>6103</v>
      </c>
      <c r="F109" s="22">
        <v>314</v>
      </c>
      <c r="G109" s="22">
        <v>0</v>
      </c>
      <c r="H109" s="22">
        <f t="shared" si="59"/>
        <v>6417</v>
      </c>
      <c r="I109" s="22">
        <v>0</v>
      </c>
      <c r="J109" s="22">
        <v>0</v>
      </c>
      <c r="K109" s="22">
        <f t="shared" si="60"/>
        <v>6417</v>
      </c>
      <c r="L109" s="73">
        <v>7698</v>
      </c>
      <c r="M109" s="22">
        <f t="shared" si="61"/>
        <v>1281</v>
      </c>
      <c r="N109" s="22">
        <f t="shared" si="56"/>
        <v>1.1996259934548854</v>
      </c>
      <c r="O109" s="22">
        <v>0</v>
      </c>
      <c r="P109" s="40">
        <f t="shared" si="57"/>
        <v>7698</v>
      </c>
      <c r="Q109" s="22">
        <v>191</v>
      </c>
      <c r="R109" s="22">
        <v>0</v>
      </c>
      <c r="S109" s="40">
        <f t="shared" si="58"/>
        <v>7889</v>
      </c>
      <c r="T109" s="40">
        <v>0</v>
      </c>
      <c r="U109" s="40">
        <v>0</v>
      </c>
      <c r="V109" s="40">
        <v>0</v>
      </c>
      <c r="W109" s="22">
        <f t="shared" si="62"/>
        <v>7889</v>
      </c>
      <c r="X109" s="22">
        <f>47</f>
        <v>47</v>
      </c>
      <c r="Y109" s="23">
        <v>0</v>
      </c>
      <c r="Z109" s="140">
        <f t="shared" si="52"/>
        <v>7936</v>
      </c>
      <c r="AA109" s="140">
        <v>0</v>
      </c>
      <c r="AB109" s="140">
        <v>0</v>
      </c>
      <c r="AC109" s="140">
        <v>0</v>
      </c>
      <c r="AD109" s="127">
        <f t="shared" si="51"/>
        <v>7936</v>
      </c>
    </row>
    <row r="110" spans="1:30" ht="15" customHeight="1" x14ac:dyDescent="0.25">
      <c r="A110" s="20" t="s">
        <v>139</v>
      </c>
      <c r="B110" s="68" t="s">
        <v>140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73">
        <v>0</v>
      </c>
      <c r="M110" s="22"/>
      <c r="N110" s="22"/>
      <c r="O110" s="22"/>
      <c r="P110" s="40"/>
      <c r="Q110" s="22"/>
      <c r="R110" s="22"/>
      <c r="S110" s="40"/>
      <c r="T110" s="40"/>
      <c r="U110" s="40"/>
      <c r="V110" s="40"/>
      <c r="W110" s="22">
        <v>75</v>
      </c>
      <c r="X110" s="22">
        <v>0</v>
      </c>
      <c r="Y110" s="23">
        <v>0</v>
      </c>
      <c r="Z110" s="140">
        <f t="shared" si="52"/>
        <v>75</v>
      </c>
      <c r="AA110" s="140">
        <v>0</v>
      </c>
      <c r="AB110" s="140">
        <v>0</v>
      </c>
      <c r="AC110" s="140">
        <v>0</v>
      </c>
      <c r="AD110" s="127">
        <f t="shared" si="51"/>
        <v>75</v>
      </c>
    </row>
    <row r="111" spans="1:30" ht="24" customHeight="1" x14ac:dyDescent="0.25">
      <c r="A111" s="20" t="s">
        <v>426</v>
      </c>
      <c r="B111" s="68" t="s">
        <v>94</v>
      </c>
      <c r="C111" s="22"/>
      <c r="D111" s="22"/>
      <c r="E111" s="22"/>
      <c r="F111" s="22"/>
      <c r="G111" s="22"/>
      <c r="H111" s="22"/>
      <c r="I111" s="22"/>
      <c r="J111" s="22"/>
      <c r="K111" s="22"/>
      <c r="L111" s="73">
        <v>0</v>
      </c>
      <c r="M111" s="22"/>
      <c r="N111" s="22"/>
      <c r="O111" s="22"/>
      <c r="P111" s="40"/>
      <c r="Q111" s="22"/>
      <c r="R111" s="22"/>
      <c r="S111" s="40"/>
      <c r="T111" s="40"/>
      <c r="U111" s="40"/>
      <c r="V111" s="40"/>
      <c r="W111" s="22"/>
      <c r="X111" s="22"/>
      <c r="Y111" s="23"/>
      <c r="Z111" s="140">
        <v>0</v>
      </c>
      <c r="AA111" s="140">
        <v>0</v>
      </c>
      <c r="AB111" s="140">
        <f>70</f>
        <v>70</v>
      </c>
      <c r="AC111" s="140">
        <v>0</v>
      </c>
      <c r="AD111" s="127">
        <f t="shared" si="51"/>
        <v>70</v>
      </c>
    </row>
    <row r="112" spans="1:30" ht="25.5" x14ac:dyDescent="0.25">
      <c r="A112" s="20" t="s">
        <v>141</v>
      </c>
      <c r="B112" s="68" t="s">
        <v>94</v>
      </c>
      <c r="C112" s="22">
        <v>2341</v>
      </c>
      <c r="D112" s="22">
        <v>0</v>
      </c>
      <c r="E112" s="22">
        <f t="shared" si="53"/>
        <v>2341</v>
      </c>
      <c r="F112" s="22">
        <v>100</v>
      </c>
      <c r="G112" s="22">
        <v>0</v>
      </c>
      <c r="H112" s="22">
        <f t="shared" si="59"/>
        <v>2441</v>
      </c>
      <c r="I112" s="22">
        <v>100</v>
      </c>
      <c r="J112" s="22">
        <v>0</v>
      </c>
      <c r="K112" s="22">
        <f t="shared" si="60"/>
        <v>2541</v>
      </c>
      <c r="L112" s="73">
        <v>2232</v>
      </c>
      <c r="M112" s="22">
        <f t="shared" si="61"/>
        <v>-309</v>
      </c>
      <c r="N112" s="22">
        <f t="shared" si="56"/>
        <v>0.87839433293978753</v>
      </c>
      <c r="O112" s="22">
        <v>0</v>
      </c>
      <c r="P112" s="40">
        <f t="shared" si="57"/>
        <v>2232</v>
      </c>
      <c r="Q112" s="22">
        <v>102</v>
      </c>
      <c r="R112" s="22">
        <v>0</v>
      </c>
      <c r="S112" s="40">
        <f t="shared" si="58"/>
        <v>2334</v>
      </c>
      <c r="T112" s="40">
        <v>0</v>
      </c>
      <c r="U112" s="40">
        <v>0</v>
      </c>
      <c r="V112" s="40">
        <v>0</v>
      </c>
      <c r="W112" s="22">
        <f t="shared" si="62"/>
        <v>2334</v>
      </c>
      <c r="X112" s="22">
        <f>100</f>
        <v>100</v>
      </c>
      <c r="Y112" s="23">
        <v>0</v>
      </c>
      <c r="Z112" s="140">
        <f t="shared" si="52"/>
        <v>2434</v>
      </c>
      <c r="AA112" s="140">
        <v>0</v>
      </c>
      <c r="AB112" s="140">
        <f>30</f>
        <v>30</v>
      </c>
      <c r="AC112" s="140">
        <v>0</v>
      </c>
      <c r="AD112" s="127">
        <f t="shared" si="51"/>
        <v>2464</v>
      </c>
    </row>
    <row r="113" spans="1:30" x14ac:dyDescent="0.25">
      <c r="A113" s="69" t="s">
        <v>142</v>
      </c>
      <c r="B113" s="68" t="s">
        <v>143</v>
      </c>
      <c r="C113" s="22"/>
      <c r="D113" s="22"/>
      <c r="E113" s="22"/>
      <c r="F113" s="22"/>
      <c r="G113" s="22"/>
      <c r="H113" s="22"/>
      <c r="I113" s="22"/>
      <c r="J113" s="22"/>
      <c r="K113" s="22"/>
      <c r="L113" s="73">
        <v>0</v>
      </c>
      <c r="M113" s="22"/>
      <c r="N113" s="22"/>
      <c r="O113" s="22"/>
      <c r="P113" s="40"/>
      <c r="Q113" s="22"/>
      <c r="R113" s="22"/>
      <c r="S113" s="40">
        <v>0</v>
      </c>
      <c r="T113" s="40">
        <v>0</v>
      </c>
      <c r="U113" s="40">
        <v>0</v>
      </c>
      <c r="V113" s="40">
        <f>1162.18</f>
        <v>1162.18</v>
      </c>
      <c r="W113" s="22">
        <f>SUM(S113:V113)</f>
        <v>1162.18</v>
      </c>
      <c r="X113" s="22">
        <v>0</v>
      </c>
      <c r="Y113" s="23">
        <v>0</v>
      </c>
      <c r="Z113" s="140">
        <f t="shared" si="52"/>
        <v>1162.18</v>
      </c>
      <c r="AA113" s="140">
        <v>0</v>
      </c>
      <c r="AB113" s="140">
        <v>0</v>
      </c>
      <c r="AC113" s="140">
        <v>0</v>
      </c>
      <c r="AD113" s="127">
        <f t="shared" si="51"/>
        <v>1162.18</v>
      </c>
    </row>
    <row r="114" spans="1:30" x14ac:dyDescent="0.25">
      <c r="A114" s="69" t="s">
        <v>144</v>
      </c>
      <c r="B114" s="68" t="s">
        <v>94</v>
      </c>
      <c r="C114" s="22">
        <v>4048</v>
      </c>
      <c r="D114" s="22">
        <v>0</v>
      </c>
      <c r="E114" s="22">
        <f t="shared" si="53"/>
        <v>4048</v>
      </c>
      <c r="F114" s="22">
        <v>224</v>
      </c>
      <c r="G114" s="22">
        <v>0</v>
      </c>
      <c r="H114" s="22">
        <f t="shared" si="59"/>
        <v>4272</v>
      </c>
      <c r="I114" s="22">
        <v>0</v>
      </c>
      <c r="J114" s="22">
        <v>0</v>
      </c>
      <c r="K114" s="22">
        <f t="shared" si="60"/>
        <v>4272</v>
      </c>
      <c r="L114" s="73">
        <v>5122</v>
      </c>
      <c r="M114" s="22">
        <f t="shared" si="61"/>
        <v>850</v>
      </c>
      <c r="N114" s="22">
        <f t="shared" si="56"/>
        <v>1.1989700374531835</v>
      </c>
      <c r="O114" s="22">
        <v>0</v>
      </c>
      <c r="P114" s="40">
        <f t="shared" si="57"/>
        <v>5122</v>
      </c>
      <c r="Q114" s="22">
        <v>294</v>
      </c>
      <c r="R114" s="22">
        <v>0</v>
      </c>
      <c r="S114" s="40">
        <f t="shared" si="58"/>
        <v>5416</v>
      </c>
      <c r="T114" s="40">
        <v>0</v>
      </c>
      <c r="U114" s="40">
        <v>0</v>
      </c>
      <c r="V114" s="40">
        <v>0</v>
      </c>
      <c r="W114" s="22">
        <f t="shared" si="62"/>
        <v>5416</v>
      </c>
      <c r="X114" s="22">
        <f>26</f>
        <v>26</v>
      </c>
      <c r="Y114" s="23">
        <v>0</v>
      </c>
      <c r="Z114" s="140">
        <f t="shared" si="52"/>
        <v>5442</v>
      </c>
      <c r="AA114" s="140">
        <v>0</v>
      </c>
      <c r="AB114" s="140">
        <v>0</v>
      </c>
      <c r="AC114" s="140">
        <v>0</v>
      </c>
      <c r="AD114" s="127">
        <f t="shared" si="51"/>
        <v>5442</v>
      </c>
    </row>
    <row r="115" spans="1:30" ht="18" customHeight="1" x14ac:dyDescent="0.25">
      <c r="A115" s="20" t="s">
        <v>145</v>
      </c>
      <c r="B115" s="68" t="s">
        <v>94</v>
      </c>
      <c r="C115" s="22">
        <v>10059</v>
      </c>
      <c r="D115" s="22">
        <v>0</v>
      </c>
      <c r="E115" s="22">
        <f t="shared" si="53"/>
        <v>10059</v>
      </c>
      <c r="F115" s="22">
        <v>564</v>
      </c>
      <c r="G115" s="22">
        <v>0</v>
      </c>
      <c r="H115" s="22">
        <f t="shared" si="59"/>
        <v>10623</v>
      </c>
      <c r="I115" s="22">
        <v>-784</v>
      </c>
      <c r="J115" s="22">
        <v>0</v>
      </c>
      <c r="K115" s="22">
        <f t="shared" si="60"/>
        <v>9839</v>
      </c>
      <c r="L115" s="73">
        <v>14843</v>
      </c>
      <c r="M115" s="22">
        <f t="shared" si="61"/>
        <v>5004</v>
      </c>
      <c r="N115" s="22">
        <f t="shared" si="56"/>
        <v>1.5085882711657688</v>
      </c>
      <c r="O115" s="22">
        <v>0</v>
      </c>
      <c r="P115" s="40">
        <f t="shared" si="57"/>
        <v>14843</v>
      </c>
      <c r="Q115" s="22">
        <v>199</v>
      </c>
      <c r="R115" s="22">
        <v>0</v>
      </c>
      <c r="S115" s="40">
        <f t="shared" si="58"/>
        <v>15042</v>
      </c>
      <c r="T115" s="40">
        <v>0</v>
      </c>
      <c r="U115" s="40">
        <v>0</v>
      </c>
      <c r="V115" s="40">
        <v>0</v>
      </c>
      <c r="W115" s="22">
        <f t="shared" si="62"/>
        <v>15042</v>
      </c>
      <c r="X115" s="22">
        <f>11</f>
        <v>11</v>
      </c>
      <c r="Y115" s="23">
        <v>0</v>
      </c>
      <c r="Z115" s="140">
        <f t="shared" si="52"/>
        <v>15053</v>
      </c>
      <c r="AA115" s="140">
        <v>0</v>
      </c>
      <c r="AB115" s="140">
        <f>121</f>
        <v>121</v>
      </c>
      <c r="AC115" s="140">
        <v>0</v>
      </c>
      <c r="AD115" s="127">
        <f t="shared" si="51"/>
        <v>15174</v>
      </c>
    </row>
    <row r="116" spans="1:30" ht="18" customHeight="1" x14ac:dyDescent="0.25">
      <c r="A116" s="20" t="s">
        <v>427</v>
      </c>
      <c r="B116" s="68" t="s">
        <v>428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73">
        <v>0</v>
      </c>
      <c r="M116" s="22"/>
      <c r="N116" s="22"/>
      <c r="O116" s="22"/>
      <c r="P116" s="40"/>
      <c r="Q116" s="22"/>
      <c r="R116" s="22"/>
      <c r="S116" s="40"/>
      <c r="T116" s="40"/>
      <c r="U116" s="40"/>
      <c r="V116" s="40"/>
      <c r="W116" s="22"/>
      <c r="X116" s="22"/>
      <c r="Y116" s="23"/>
      <c r="Z116" s="140">
        <v>0</v>
      </c>
      <c r="AA116" s="140">
        <f>914.05</f>
        <v>914.05</v>
      </c>
      <c r="AB116" s="140">
        <v>0</v>
      </c>
      <c r="AC116" s="140">
        <v>0</v>
      </c>
      <c r="AD116" s="127">
        <f t="shared" si="51"/>
        <v>914.05</v>
      </c>
    </row>
    <row r="117" spans="1:30" x14ac:dyDescent="0.25">
      <c r="A117" s="69" t="s">
        <v>146</v>
      </c>
      <c r="B117" s="68" t="s">
        <v>94</v>
      </c>
      <c r="C117" s="22">
        <v>7008</v>
      </c>
      <c r="D117" s="22">
        <v>0</v>
      </c>
      <c r="E117" s="22">
        <f t="shared" si="53"/>
        <v>7008</v>
      </c>
      <c r="F117" s="22">
        <v>422</v>
      </c>
      <c r="G117" s="22">
        <v>0</v>
      </c>
      <c r="H117" s="22">
        <f t="shared" si="59"/>
        <v>7430</v>
      </c>
      <c r="I117" s="22">
        <v>0</v>
      </c>
      <c r="J117" s="22">
        <v>0</v>
      </c>
      <c r="K117" s="22">
        <f t="shared" si="60"/>
        <v>7430</v>
      </c>
      <c r="L117" s="73">
        <v>9746</v>
      </c>
      <c r="M117" s="22">
        <f t="shared" si="61"/>
        <v>2316</v>
      </c>
      <c r="N117" s="22">
        <f t="shared" si="56"/>
        <v>1.3117092866756392</v>
      </c>
      <c r="O117" s="22">
        <v>0</v>
      </c>
      <c r="P117" s="40">
        <f t="shared" si="57"/>
        <v>9746</v>
      </c>
      <c r="Q117" s="22">
        <v>413</v>
      </c>
      <c r="R117" s="22">
        <v>0</v>
      </c>
      <c r="S117" s="40">
        <f t="shared" si="58"/>
        <v>10159</v>
      </c>
      <c r="T117" s="40">
        <v>0</v>
      </c>
      <c r="U117" s="40">
        <v>0</v>
      </c>
      <c r="V117" s="40">
        <v>0</v>
      </c>
      <c r="W117" s="22">
        <f t="shared" si="62"/>
        <v>10159</v>
      </c>
      <c r="X117" s="22">
        <f>30</f>
        <v>30</v>
      </c>
      <c r="Y117" s="23">
        <v>0</v>
      </c>
      <c r="Z117" s="140">
        <f t="shared" si="52"/>
        <v>10189</v>
      </c>
      <c r="AA117" s="140">
        <v>0</v>
      </c>
      <c r="AB117" s="140">
        <f>75</f>
        <v>75</v>
      </c>
      <c r="AC117" s="140">
        <v>0</v>
      </c>
      <c r="AD117" s="127">
        <f t="shared" si="51"/>
        <v>10264</v>
      </c>
    </row>
    <row r="118" spans="1:30" x14ac:dyDescent="0.25">
      <c r="A118" s="69" t="s">
        <v>147</v>
      </c>
      <c r="B118" s="68" t="s">
        <v>148</v>
      </c>
      <c r="C118" s="22"/>
      <c r="D118" s="22"/>
      <c r="E118" s="22"/>
      <c r="F118" s="22"/>
      <c r="G118" s="22"/>
      <c r="H118" s="22"/>
      <c r="I118" s="22"/>
      <c r="J118" s="22"/>
      <c r="K118" s="22"/>
      <c r="L118" s="73">
        <v>0</v>
      </c>
      <c r="M118" s="22"/>
      <c r="N118" s="22"/>
      <c r="O118" s="22">
        <f>3659.73</f>
        <v>3659.73</v>
      </c>
      <c r="P118" s="40">
        <f>L118+O118</f>
        <v>3659.73</v>
      </c>
      <c r="Q118" s="22">
        <v>0</v>
      </c>
      <c r="R118" s="22">
        <v>0</v>
      </c>
      <c r="S118" s="40">
        <f t="shared" si="58"/>
        <v>3659.73</v>
      </c>
      <c r="T118" s="40">
        <v>0</v>
      </c>
      <c r="U118" s="40">
        <v>0</v>
      </c>
      <c r="V118" s="40">
        <v>0</v>
      </c>
      <c r="W118" s="22">
        <f t="shared" si="62"/>
        <v>3659.73</v>
      </c>
      <c r="X118" s="22">
        <v>0</v>
      </c>
      <c r="Y118" s="23">
        <v>0</v>
      </c>
      <c r="Z118" s="140">
        <f t="shared" si="52"/>
        <v>3659.73</v>
      </c>
      <c r="AA118" s="140">
        <v>0</v>
      </c>
      <c r="AB118" s="140">
        <v>0</v>
      </c>
      <c r="AC118" s="140">
        <v>0</v>
      </c>
      <c r="AD118" s="127">
        <f t="shared" si="51"/>
        <v>3659.73</v>
      </c>
    </row>
    <row r="119" spans="1:30" x14ac:dyDescent="0.25">
      <c r="A119" s="69" t="s">
        <v>149</v>
      </c>
      <c r="B119" s="68" t="s">
        <v>94</v>
      </c>
      <c r="C119" s="22">
        <v>9244</v>
      </c>
      <c r="D119" s="22">
        <v>0</v>
      </c>
      <c r="E119" s="22">
        <f t="shared" si="53"/>
        <v>9244</v>
      </c>
      <c r="F119" s="22">
        <v>323</v>
      </c>
      <c r="G119" s="22">
        <v>0</v>
      </c>
      <c r="H119" s="22">
        <f t="shared" si="59"/>
        <v>9567</v>
      </c>
      <c r="I119" s="22">
        <v>0</v>
      </c>
      <c r="J119" s="22">
        <v>0</v>
      </c>
      <c r="K119" s="22">
        <f t="shared" si="60"/>
        <v>9567</v>
      </c>
      <c r="L119" s="73">
        <v>10173</v>
      </c>
      <c r="M119" s="22">
        <f t="shared" si="61"/>
        <v>606</v>
      </c>
      <c r="N119" s="22">
        <f t="shared" si="56"/>
        <v>1.0633427406710567</v>
      </c>
      <c r="O119" s="22">
        <v>0</v>
      </c>
      <c r="P119" s="40">
        <f t="shared" si="57"/>
        <v>10173</v>
      </c>
      <c r="Q119" s="22">
        <v>328</v>
      </c>
      <c r="R119" s="22">
        <v>0</v>
      </c>
      <c r="S119" s="40">
        <f>SUM(P119:R119)</f>
        <v>10501</v>
      </c>
      <c r="T119" s="40">
        <v>0</v>
      </c>
      <c r="U119" s="40">
        <v>0</v>
      </c>
      <c r="V119" s="40">
        <v>0</v>
      </c>
      <c r="W119" s="22">
        <f t="shared" si="62"/>
        <v>10501</v>
      </c>
      <c r="X119" s="22">
        <f>24</f>
        <v>24</v>
      </c>
      <c r="Y119" s="23">
        <v>0</v>
      </c>
      <c r="Z119" s="140">
        <f t="shared" si="52"/>
        <v>10525</v>
      </c>
      <c r="AA119" s="140">
        <v>0</v>
      </c>
      <c r="AB119" s="140">
        <v>0</v>
      </c>
      <c r="AC119" s="140">
        <v>0</v>
      </c>
      <c r="AD119" s="127">
        <f t="shared" si="51"/>
        <v>10525</v>
      </c>
    </row>
    <row r="120" spans="1:30" x14ac:dyDescent="0.25">
      <c r="A120" s="69" t="s">
        <v>150</v>
      </c>
      <c r="B120" s="68" t="s">
        <v>143</v>
      </c>
      <c r="C120" s="22"/>
      <c r="D120" s="22"/>
      <c r="E120" s="22"/>
      <c r="F120" s="22"/>
      <c r="G120" s="22"/>
      <c r="H120" s="22"/>
      <c r="I120" s="22"/>
      <c r="J120" s="22"/>
      <c r="K120" s="22"/>
      <c r="L120" s="73">
        <v>0</v>
      </c>
      <c r="M120" s="22"/>
      <c r="N120" s="22"/>
      <c r="O120" s="22"/>
      <c r="P120" s="40"/>
      <c r="Q120" s="22"/>
      <c r="R120" s="22"/>
      <c r="S120" s="40">
        <v>0</v>
      </c>
      <c r="T120" s="40">
        <v>0</v>
      </c>
      <c r="U120" s="40">
        <v>0</v>
      </c>
      <c r="V120" s="40">
        <f>3253.81</f>
        <v>3253.81</v>
      </c>
      <c r="W120" s="22">
        <f>SUM(S120:V120)</f>
        <v>3253.81</v>
      </c>
      <c r="X120" s="22">
        <v>0</v>
      </c>
      <c r="Y120" s="23">
        <v>0</v>
      </c>
      <c r="Z120" s="140">
        <f t="shared" si="52"/>
        <v>3253.81</v>
      </c>
      <c r="AA120" s="140">
        <v>0</v>
      </c>
      <c r="AB120" s="140">
        <v>0</v>
      </c>
      <c r="AC120" s="140">
        <v>0</v>
      </c>
      <c r="AD120" s="127">
        <f t="shared" si="51"/>
        <v>3253.81</v>
      </c>
    </row>
    <row r="121" spans="1:30" x14ac:dyDescent="0.25">
      <c r="A121" s="69" t="s">
        <v>151</v>
      </c>
      <c r="B121" s="68" t="s">
        <v>94</v>
      </c>
      <c r="C121" s="22">
        <v>6269</v>
      </c>
      <c r="D121" s="22">
        <v>0</v>
      </c>
      <c r="E121" s="22">
        <f t="shared" si="53"/>
        <v>6269</v>
      </c>
      <c r="F121" s="22">
        <v>467</v>
      </c>
      <c r="G121" s="22">
        <v>0</v>
      </c>
      <c r="H121" s="22">
        <f t="shared" si="59"/>
        <v>6736</v>
      </c>
      <c r="I121" s="22">
        <v>0</v>
      </c>
      <c r="J121" s="22">
        <v>0</v>
      </c>
      <c r="K121" s="22">
        <f t="shared" si="60"/>
        <v>6736</v>
      </c>
      <c r="L121" s="73">
        <v>7870</v>
      </c>
      <c r="M121" s="22">
        <f t="shared" si="61"/>
        <v>1134</v>
      </c>
      <c r="N121" s="22">
        <f t="shared" si="56"/>
        <v>1.1683491686460807</v>
      </c>
      <c r="O121" s="22">
        <v>0</v>
      </c>
      <c r="P121" s="40">
        <f t="shared" si="57"/>
        <v>7870</v>
      </c>
      <c r="Q121" s="22">
        <v>154</v>
      </c>
      <c r="R121" s="22">
        <v>0</v>
      </c>
      <c r="S121" s="40">
        <f t="shared" si="58"/>
        <v>8024</v>
      </c>
      <c r="T121" s="40">
        <v>0</v>
      </c>
      <c r="U121" s="40">
        <v>0</v>
      </c>
      <c r="V121" s="40">
        <v>0</v>
      </c>
      <c r="W121" s="22">
        <f t="shared" si="62"/>
        <v>8024</v>
      </c>
      <c r="X121" s="22">
        <f>32</f>
        <v>32</v>
      </c>
      <c r="Y121" s="23">
        <v>0</v>
      </c>
      <c r="Z121" s="140">
        <f t="shared" si="52"/>
        <v>8056</v>
      </c>
      <c r="AA121" s="140">
        <v>0</v>
      </c>
      <c r="AB121" s="140">
        <f>9</f>
        <v>9</v>
      </c>
      <c r="AC121" s="140">
        <v>0</v>
      </c>
      <c r="AD121" s="127">
        <f t="shared" si="51"/>
        <v>8065</v>
      </c>
    </row>
    <row r="122" spans="1:30" x14ac:dyDescent="0.25">
      <c r="A122" s="69" t="s">
        <v>152</v>
      </c>
      <c r="B122" s="68" t="s">
        <v>94</v>
      </c>
      <c r="C122" s="22">
        <v>2373</v>
      </c>
      <c r="D122" s="22">
        <v>0</v>
      </c>
      <c r="E122" s="22">
        <f t="shared" si="53"/>
        <v>2373</v>
      </c>
      <c r="F122" s="22">
        <v>172</v>
      </c>
      <c r="G122" s="22">
        <v>0</v>
      </c>
      <c r="H122" s="22">
        <f t="shared" si="59"/>
        <v>2545</v>
      </c>
      <c r="I122" s="22">
        <v>0</v>
      </c>
      <c r="J122" s="22">
        <v>0</v>
      </c>
      <c r="K122" s="22">
        <f t="shared" si="60"/>
        <v>2545</v>
      </c>
      <c r="L122" s="73">
        <v>3554</v>
      </c>
      <c r="M122" s="22">
        <f t="shared" si="61"/>
        <v>1009</v>
      </c>
      <c r="N122" s="22">
        <f t="shared" si="56"/>
        <v>1.3964636542239686</v>
      </c>
      <c r="O122" s="22">
        <v>0</v>
      </c>
      <c r="P122" s="40">
        <f t="shared" si="57"/>
        <v>3554</v>
      </c>
      <c r="Q122" s="22">
        <v>153</v>
      </c>
      <c r="R122" s="22">
        <v>0</v>
      </c>
      <c r="S122" s="40">
        <f t="shared" si="58"/>
        <v>3707</v>
      </c>
      <c r="T122" s="40">
        <v>0</v>
      </c>
      <c r="U122" s="40">
        <v>0</v>
      </c>
      <c r="V122" s="40">
        <v>0</v>
      </c>
      <c r="W122" s="22">
        <f t="shared" si="62"/>
        <v>3707</v>
      </c>
      <c r="X122" s="22">
        <f>61</f>
        <v>61</v>
      </c>
      <c r="Y122" s="23">
        <v>0</v>
      </c>
      <c r="Z122" s="140">
        <f t="shared" si="52"/>
        <v>3768</v>
      </c>
      <c r="AA122" s="140">
        <v>0</v>
      </c>
      <c r="AB122" s="140">
        <v>0</v>
      </c>
      <c r="AC122" s="140">
        <v>0</v>
      </c>
      <c r="AD122" s="127">
        <f t="shared" si="51"/>
        <v>3768</v>
      </c>
    </row>
    <row r="123" spans="1:30" x14ac:dyDescent="0.25">
      <c r="A123" s="69" t="s">
        <v>153</v>
      </c>
      <c r="B123" s="68" t="s">
        <v>154</v>
      </c>
      <c r="C123" s="22"/>
      <c r="D123" s="22"/>
      <c r="E123" s="22"/>
      <c r="F123" s="22"/>
      <c r="G123" s="22"/>
      <c r="H123" s="22"/>
      <c r="I123" s="22"/>
      <c r="J123" s="22"/>
      <c r="K123" s="22"/>
      <c r="L123" s="73">
        <v>0</v>
      </c>
      <c r="M123" s="22"/>
      <c r="N123" s="22"/>
      <c r="O123" s="22"/>
      <c r="P123" s="40"/>
      <c r="Q123" s="22"/>
      <c r="R123" s="22"/>
      <c r="S123" s="40"/>
      <c r="T123" s="40"/>
      <c r="U123" s="40"/>
      <c r="V123" s="40"/>
      <c r="W123" s="22">
        <f>75.7</f>
        <v>75.7</v>
      </c>
      <c r="X123" s="22">
        <v>0</v>
      </c>
      <c r="Y123" s="23">
        <v>0</v>
      </c>
      <c r="Z123" s="140">
        <f t="shared" si="52"/>
        <v>75.7</v>
      </c>
      <c r="AA123" s="140">
        <v>0</v>
      </c>
      <c r="AB123" s="140">
        <v>0</v>
      </c>
      <c r="AC123" s="140">
        <v>0</v>
      </c>
      <c r="AD123" s="127">
        <f t="shared" si="51"/>
        <v>75.7</v>
      </c>
    </row>
    <row r="124" spans="1:30" x14ac:dyDescent="0.25">
      <c r="A124" s="69" t="s">
        <v>429</v>
      </c>
      <c r="B124" s="68" t="s">
        <v>430</v>
      </c>
      <c r="C124" s="22"/>
      <c r="D124" s="22"/>
      <c r="E124" s="22"/>
      <c r="F124" s="22"/>
      <c r="G124" s="22"/>
      <c r="H124" s="22"/>
      <c r="I124" s="22"/>
      <c r="J124" s="22"/>
      <c r="K124" s="22"/>
      <c r="L124" s="73">
        <v>0</v>
      </c>
      <c r="M124" s="22"/>
      <c r="N124" s="22"/>
      <c r="O124" s="22"/>
      <c r="P124" s="40"/>
      <c r="Q124" s="22"/>
      <c r="R124" s="22"/>
      <c r="S124" s="40"/>
      <c r="T124" s="40"/>
      <c r="U124" s="40"/>
      <c r="V124" s="40"/>
      <c r="W124" s="22"/>
      <c r="X124" s="22"/>
      <c r="Y124" s="23"/>
      <c r="Z124" s="140">
        <v>0</v>
      </c>
      <c r="AA124" s="140">
        <f>39.37</f>
        <v>39.369999999999997</v>
      </c>
      <c r="AB124" s="140">
        <v>0</v>
      </c>
      <c r="AC124" s="140">
        <v>0</v>
      </c>
      <c r="AD124" s="127">
        <f t="shared" si="51"/>
        <v>39.369999999999997</v>
      </c>
    </row>
    <row r="125" spans="1:30" x14ac:dyDescent="0.25">
      <c r="A125" s="69" t="s">
        <v>431</v>
      </c>
      <c r="B125" s="68" t="s">
        <v>430</v>
      </c>
      <c r="C125" s="22"/>
      <c r="D125" s="22"/>
      <c r="E125" s="22"/>
      <c r="F125" s="22"/>
      <c r="G125" s="22"/>
      <c r="H125" s="22"/>
      <c r="I125" s="22"/>
      <c r="J125" s="22"/>
      <c r="K125" s="22"/>
      <c r="L125" s="73">
        <v>0</v>
      </c>
      <c r="M125" s="22"/>
      <c r="N125" s="22"/>
      <c r="O125" s="22"/>
      <c r="P125" s="40"/>
      <c r="Q125" s="22"/>
      <c r="R125" s="22"/>
      <c r="S125" s="40"/>
      <c r="T125" s="40"/>
      <c r="U125" s="40"/>
      <c r="V125" s="40"/>
      <c r="W125" s="22"/>
      <c r="X125" s="22"/>
      <c r="Y125" s="23"/>
      <c r="Z125" s="140">
        <v>0</v>
      </c>
      <c r="AA125" s="140">
        <f>2.32</f>
        <v>2.3199999999999998</v>
      </c>
      <c r="AB125" s="140">
        <v>0</v>
      </c>
      <c r="AC125" s="140">
        <v>0</v>
      </c>
      <c r="AD125" s="127">
        <f t="shared" si="51"/>
        <v>2.3199999999999998</v>
      </c>
    </row>
    <row r="126" spans="1:30" ht="21.75" customHeight="1" x14ac:dyDescent="0.25">
      <c r="A126" s="20" t="s">
        <v>155</v>
      </c>
      <c r="B126" s="68" t="s">
        <v>94</v>
      </c>
      <c r="C126" s="22">
        <v>1291</v>
      </c>
      <c r="D126" s="22">
        <v>0</v>
      </c>
      <c r="E126" s="22">
        <f t="shared" si="53"/>
        <v>1291</v>
      </c>
      <c r="F126" s="22">
        <v>100</v>
      </c>
      <c r="G126" s="22">
        <v>0</v>
      </c>
      <c r="H126" s="22">
        <f t="shared" si="59"/>
        <v>1391</v>
      </c>
      <c r="I126" s="22">
        <v>0</v>
      </c>
      <c r="J126" s="22">
        <v>0</v>
      </c>
      <c r="K126" s="22">
        <f t="shared" si="60"/>
        <v>1391</v>
      </c>
      <c r="L126" s="73">
        <v>1476</v>
      </c>
      <c r="M126" s="22">
        <f t="shared" si="61"/>
        <v>85</v>
      </c>
      <c r="N126" s="22">
        <f t="shared" si="56"/>
        <v>1.0611071171818836</v>
      </c>
      <c r="O126" s="22">
        <v>0</v>
      </c>
      <c r="P126" s="40">
        <f t="shared" si="57"/>
        <v>1476</v>
      </c>
      <c r="Q126" s="22">
        <v>99</v>
      </c>
      <c r="R126" s="22">
        <v>0</v>
      </c>
      <c r="S126" s="40">
        <f t="shared" si="58"/>
        <v>1575</v>
      </c>
      <c r="T126" s="40">
        <v>0</v>
      </c>
      <c r="U126" s="40">
        <v>0</v>
      </c>
      <c r="V126" s="40">
        <v>0</v>
      </c>
      <c r="W126" s="22">
        <f t="shared" si="62"/>
        <v>1575</v>
      </c>
      <c r="X126" s="22">
        <f>50</f>
        <v>50</v>
      </c>
      <c r="Y126" s="23">
        <v>0</v>
      </c>
      <c r="Z126" s="140">
        <f t="shared" si="52"/>
        <v>1625</v>
      </c>
      <c r="AA126" s="140">
        <v>0</v>
      </c>
      <c r="AB126" s="140">
        <v>0</v>
      </c>
      <c r="AC126" s="140">
        <v>0</v>
      </c>
      <c r="AD126" s="127">
        <f t="shared" si="51"/>
        <v>1625</v>
      </c>
    </row>
    <row r="127" spans="1:30" x14ac:dyDescent="0.25">
      <c r="A127" s="69" t="s">
        <v>156</v>
      </c>
      <c r="B127" s="68" t="s">
        <v>94</v>
      </c>
      <c r="C127" s="22">
        <v>10249</v>
      </c>
      <c r="D127" s="22">
        <v>0</v>
      </c>
      <c r="E127" s="22">
        <f t="shared" si="53"/>
        <v>10249</v>
      </c>
      <c r="F127" s="22">
        <v>458</v>
      </c>
      <c r="G127" s="22">
        <v>0</v>
      </c>
      <c r="H127" s="22">
        <f t="shared" si="59"/>
        <v>10707</v>
      </c>
      <c r="I127" s="22">
        <v>0</v>
      </c>
      <c r="J127" s="22">
        <v>0</v>
      </c>
      <c r="K127" s="22">
        <f t="shared" si="60"/>
        <v>10707</v>
      </c>
      <c r="L127" s="73">
        <v>11598</v>
      </c>
      <c r="M127" s="22">
        <f t="shared" si="61"/>
        <v>891</v>
      </c>
      <c r="N127" s="22">
        <f t="shared" si="56"/>
        <v>1.08321658727935</v>
      </c>
      <c r="O127" s="22">
        <v>0</v>
      </c>
      <c r="P127" s="40">
        <f t="shared" si="57"/>
        <v>11598</v>
      </c>
      <c r="Q127" s="22">
        <v>399</v>
      </c>
      <c r="R127" s="22">
        <v>0</v>
      </c>
      <c r="S127" s="40">
        <f t="shared" si="58"/>
        <v>11997</v>
      </c>
      <c r="T127" s="40">
        <v>121</v>
      </c>
      <c r="U127" s="40">
        <v>0</v>
      </c>
      <c r="V127" s="40">
        <v>0</v>
      </c>
      <c r="W127" s="22">
        <f t="shared" si="62"/>
        <v>12118</v>
      </c>
      <c r="X127" s="22">
        <f>117</f>
        <v>117</v>
      </c>
      <c r="Y127" s="23">
        <v>0</v>
      </c>
      <c r="Z127" s="140">
        <f t="shared" si="52"/>
        <v>12235</v>
      </c>
      <c r="AA127" s="140">
        <v>0</v>
      </c>
      <c r="AB127" s="140">
        <v>0</v>
      </c>
      <c r="AC127" s="140">
        <v>0</v>
      </c>
      <c r="AD127" s="127">
        <f t="shared" si="51"/>
        <v>12235</v>
      </c>
    </row>
    <row r="128" spans="1:30" x14ac:dyDescent="0.25">
      <c r="A128" s="69" t="s">
        <v>157</v>
      </c>
      <c r="B128" s="68" t="s">
        <v>75</v>
      </c>
      <c r="C128" s="22"/>
      <c r="D128" s="22"/>
      <c r="E128" s="22"/>
      <c r="F128" s="22"/>
      <c r="G128" s="22"/>
      <c r="H128" s="22"/>
      <c r="I128" s="22"/>
      <c r="J128" s="22"/>
      <c r="K128" s="22"/>
      <c r="L128" s="73">
        <v>0</v>
      </c>
      <c r="M128" s="22"/>
      <c r="N128" s="22"/>
      <c r="O128" s="22"/>
      <c r="P128" s="40"/>
      <c r="Q128" s="22"/>
      <c r="R128" s="22"/>
      <c r="S128" s="40">
        <v>0</v>
      </c>
      <c r="T128" s="40">
        <v>0</v>
      </c>
      <c r="U128" s="40">
        <v>0</v>
      </c>
      <c r="V128" s="40">
        <f>7.85</f>
        <v>7.85</v>
      </c>
      <c r="W128" s="22">
        <f>SUM(S128:V128)-7.85</f>
        <v>0</v>
      </c>
      <c r="X128" s="22">
        <v>0</v>
      </c>
      <c r="Y128" s="23">
        <v>0</v>
      </c>
      <c r="Z128" s="140">
        <f t="shared" si="52"/>
        <v>0</v>
      </c>
      <c r="AA128" s="140">
        <v>0</v>
      </c>
      <c r="AB128" s="140">
        <v>0</v>
      </c>
      <c r="AC128" s="140">
        <v>0</v>
      </c>
      <c r="AD128" s="127">
        <f t="shared" si="51"/>
        <v>0</v>
      </c>
    </row>
    <row r="129" spans="1:30" x14ac:dyDescent="0.25">
      <c r="A129" s="69" t="s">
        <v>158</v>
      </c>
      <c r="B129" s="68" t="s">
        <v>159</v>
      </c>
      <c r="C129" s="22"/>
      <c r="D129" s="22"/>
      <c r="E129" s="22"/>
      <c r="F129" s="22"/>
      <c r="G129" s="22"/>
      <c r="H129" s="22"/>
      <c r="I129" s="22"/>
      <c r="J129" s="22"/>
      <c r="K129" s="22"/>
      <c r="L129" s="73">
        <v>0</v>
      </c>
      <c r="M129" s="22"/>
      <c r="N129" s="22"/>
      <c r="O129" s="22"/>
      <c r="P129" s="40"/>
      <c r="Q129" s="22"/>
      <c r="R129" s="22"/>
      <c r="S129" s="40"/>
      <c r="T129" s="40"/>
      <c r="U129" s="40"/>
      <c r="V129" s="40"/>
      <c r="W129" s="22">
        <f>3048.52</f>
        <v>3048.52</v>
      </c>
      <c r="X129" s="22">
        <v>0</v>
      </c>
      <c r="Y129" s="23">
        <v>0</v>
      </c>
      <c r="Z129" s="140">
        <f t="shared" si="52"/>
        <v>3048.52</v>
      </c>
      <c r="AA129" s="140">
        <v>0</v>
      </c>
      <c r="AB129" s="140">
        <v>0</v>
      </c>
      <c r="AC129" s="140">
        <v>0</v>
      </c>
      <c r="AD129" s="127">
        <f t="shared" si="51"/>
        <v>3048.52</v>
      </c>
    </row>
    <row r="130" spans="1:30" x14ac:dyDescent="0.25">
      <c r="A130" s="69" t="s">
        <v>160</v>
      </c>
      <c r="B130" s="68" t="s">
        <v>94</v>
      </c>
      <c r="C130" s="22">
        <v>1567</v>
      </c>
      <c r="D130" s="22">
        <v>0</v>
      </c>
      <c r="E130" s="22">
        <f t="shared" si="53"/>
        <v>1567</v>
      </c>
      <c r="F130" s="22">
        <v>187</v>
      </c>
      <c r="G130" s="22">
        <v>0</v>
      </c>
      <c r="H130" s="22">
        <f t="shared" si="59"/>
        <v>1754</v>
      </c>
      <c r="I130" s="22">
        <v>0</v>
      </c>
      <c r="J130" s="22">
        <v>0</v>
      </c>
      <c r="K130" s="22">
        <f t="shared" si="60"/>
        <v>1754</v>
      </c>
      <c r="L130" s="73">
        <v>2193</v>
      </c>
      <c r="M130" s="22">
        <f t="shared" si="61"/>
        <v>439</v>
      </c>
      <c r="N130" s="22">
        <f t="shared" si="56"/>
        <v>1.2502850627137971</v>
      </c>
      <c r="O130" s="22">
        <v>0</v>
      </c>
      <c r="P130" s="40">
        <f t="shared" si="57"/>
        <v>2193</v>
      </c>
      <c r="Q130" s="22">
        <v>122</v>
      </c>
      <c r="R130" s="22">
        <v>0</v>
      </c>
      <c r="S130" s="40">
        <f t="shared" si="58"/>
        <v>2315</v>
      </c>
      <c r="T130" s="40">
        <v>0</v>
      </c>
      <c r="U130" s="40">
        <v>0</v>
      </c>
      <c r="V130" s="40">
        <v>0</v>
      </c>
      <c r="W130" s="22">
        <f t="shared" si="62"/>
        <v>2315</v>
      </c>
      <c r="X130" s="22">
        <f>50</f>
        <v>50</v>
      </c>
      <c r="Y130" s="23">
        <v>0</v>
      </c>
      <c r="Z130" s="140">
        <f t="shared" si="52"/>
        <v>2365</v>
      </c>
      <c r="AA130" s="140">
        <v>0</v>
      </c>
      <c r="AB130" s="140">
        <f>101</f>
        <v>101</v>
      </c>
      <c r="AC130" s="140">
        <v>0</v>
      </c>
      <c r="AD130" s="127">
        <f t="shared" si="51"/>
        <v>2466</v>
      </c>
    </row>
    <row r="131" spans="1:30" x14ac:dyDescent="0.25">
      <c r="A131" s="69" t="s">
        <v>161</v>
      </c>
      <c r="B131" s="68" t="s">
        <v>159</v>
      </c>
      <c r="C131" s="22"/>
      <c r="D131" s="22"/>
      <c r="E131" s="22"/>
      <c r="F131" s="22"/>
      <c r="G131" s="22"/>
      <c r="H131" s="22"/>
      <c r="I131" s="22"/>
      <c r="J131" s="22"/>
      <c r="K131" s="22"/>
      <c r="L131" s="73">
        <v>0</v>
      </c>
      <c r="M131" s="22"/>
      <c r="N131" s="22"/>
      <c r="O131" s="22"/>
      <c r="P131" s="40"/>
      <c r="Q131" s="22"/>
      <c r="R131" s="22"/>
      <c r="S131" s="40"/>
      <c r="T131" s="40"/>
      <c r="U131" s="40"/>
      <c r="V131" s="40"/>
      <c r="W131" s="22">
        <f>902.81</f>
        <v>902.81</v>
      </c>
      <c r="X131" s="22">
        <v>0</v>
      </c>
      <c r="Y131" s="23">
        <v>0</v>
      </c>
      <c r="Z131" s="140">
        <f t="shared" si="52"/>
        <v>902.81</v>
      </c>
      <c r="AA131" s="140">
        <v>0</v>
      </c>
      <c r="AB131" s="140">
        <v>0</v>
      </c>
      <c r="AC131" s="140">
        <v>0</v>
      </c>
      <c r="AD131" s="127">
        <f t="shared" si="51"/>
        <v>902.81</v>
      </c>
    </row>
    <row r="132" spans="1:30" x14ac:dyDescent="0.25">
      <c r="A132" s="69" t="s">
        <v>162</v>
      </c>
      <c r="B132" s="68" t="s">
        <v>94</v>
      </c>
      <c r="C132" s="22">
        <v>1647</v>
      </c>
      <c r="D132" s="22">
        <v>0</v>
      </c>
      <c r="E132" s="22">
        <f t="shared" si="53"/>
        <v>1647</v>
      </c>
      <c r="F132" s="22">
        <v>0</v>
      </c>
      <c r="G132" s="22">
        <v>0</v>
      </c>
      <c r="H132" s="22">
        <f t="shared" si="59"/>
        <v>1647</v>
      </c>
      <c r="I132" s="22">
        <v>0</v>
      </c>
      <c r="J132" s="22">
        <v>0</v>
      </c>
      <c r="K132" s="22">
        <f t="shared" si="60"/>
        <v>1647</v>
      </c>
      <c r="L132" s="73">
        <v>2082</v>
      </c>
      <c r="M132" s="22">
        <f t="shared" si="61"/>
        <v>435</v>
      </c>
      <c r="N132" s="22">
        <f t="shared" si="56"/>
        <v>1.2641165755919854</v>
      </c>
      <c r="O132" s="22">
        <v>0</v>
      </c>
      <c r="P132" s="40">
        <f t="shared" si="57"/>
        <v>2082</v>
      </c>
      <c r="Q132" s="22">
        <v>0</v>
      </c>
      <c r="R132" s="22">
        <v>0</v>
      </c>
      <c r="S132" s="40">
        <f t="shared" si="58"/>
        <v>2082</v>
      </c>
      <c r="T132" s="40">
        <v>0</v>
      </c>
      <c r="U132" s="40">
        <v>0</v>
      </c>
      <c r="V132" s="40">
        <v>0</v>
      </c>
      <c r="W132" s="22">
        <f t="shared" si="62"/>
        <v>2082</v>
      </c>
      <c r="X132" s="22">
        <v>0</v>
      </c>
      <c r="Y132" s="23">
        <v>0</v>
      </c>
      <c r="Z132" s="140">
        <f t="shared" si="52"/>
        <v>2082</v>
      </c>
      <c r="AA132" s="140">
        <v>0</v>
      </c>
      <c r="AB132" s="144">
        <v>0</v>
      </c>
      <c r="AC132" s="140">
        <v>0</v>
      </c>
      <c r="AD132" s="127">
        <f t="shared" si="51"/>
        <v>2082</v>
      </c>
    </row>
    <row r="133" spans="1:30" ht="33" customHeight="1" x14ac:dyDescent="0.25">
      <c r="A133" s="20" t="s">
        <v>163</v>
      </c>
      <c r="B133" s="68" t="s">
        <v>94</v>
      </c>
      <c r="C133" s="22"/>
      <c r="D133" s="22"/>
      <c r="E133" s="22"/>
      <c r="F133" s="22"/>
      <c r="G133" s="22"/>
      <c r="H133" s="22"/>
      <c r="I133" s="22"/>
      <c r="J133" s="22"/>
      <c r="K133" s="22"/>
      <c r="L133" s="73">
        <v>0</v>
      </c>
      <c r="M133" s="22"/>
      <c r="N133" s="22"/>
      <c r="O133" s="22"/>
      <c r="P133" s="40"/>
      <c r="Q133" s="22"/>
      <c r="R133" s="22"/>
      <c r="S133" s="40">
        <f>97.61</f>
        <v>97.61</v>
      </c>
      <c r="T133" s="40">
        <v>0</v>
      </c>
      <c r="U133" s="40">
        <v>0</v>
      </c>
      <c r="V133" s="40">
        <v>0</v>
      </c>
      <c r="W133" s="22">
        <f t="shared" si="62"/>
        <v>97.61</v>
      </c>
      <c r="X133" s="22">
        <v>0</v>
      </c>
      <c r="Y133" s="23">
        <v>0</v>
      </c>
      <c r="Z133" s="140">
        <f t="shared" si="52"/>
        <v>97.61</v>
      </c>
      <c r="AA133" s="140">
        <v>0</v>
      </c>
      <c r="AB133" s="140">
        <v>0</v>
      </c>
      <c r="AC133" s="140">
        <v>0</v>
      </c>
      <c r="AD133" s="127">
        <f t="shared" si="51"/>
        <v>97.61</v>
      </c>
    </row>
    <row r="134" spans="1:30" ht="33.75" customHeight="1" x14ac:dyDescent="0.25">
      <c r="A134" s="20" t="s">
        <v>164</v>
      </c>
      <c r="B134" s="68" t="s">
        <v>94</v>
      </c>
      <c r="C134" s="22"/>
      <c r="D134" s="22"/>
      <c r="E134" s="22"/>
      <c r="F134" s="22"/>
      <c r="G134" s="22"/>
      <c r="H134" s="22"/>
      <c r="I134" s="22"/>
      <c r="J134" s="22"/>
      <c r="K134" s="22"/>
      <c r="L134" s="73">
        <v>0</v>
      </c>
      <c r="M134" s="22"/>
      <c r="N134" s="22"/>
      <c r="O134" s="22"/>
      <c r="P134" s="40"/>
      <c r="Q134" s="22"/>
      <c r="R134" s="22"/>
      <c r="S134" s="40">
        <f>5.14</f>
        <v>5.14</v>
      </c>
      <c r="T134" s="40">
        <v>0</v>
      </c>
      <c r="U134" s="40">
        <v>0</v>
      </c>
      <c r="V134" s="40">
        <v>0</v>
      </c>
      <c r="W134" s="22">
        <f t="shared" si="62"/>
        <v>5.14</v>
      </c>
      <c r="X134" s="22">
        <v>0</v>
      </c>
      <c r="Y134" s="23">
        <v>0</v>
      </c>
      <c r="Z134" s="140">
        <f t="shared" si="52"/>
        <v>5.14</v>
      </c>
      <c r="AA134" s="140">
        <v>0</v>
      </c>
      <c r="AB134" s="140">
        <v>0</v>
      </c>
      <c r="AC134" s="140">
        <v>0</v>
      </c>
      <c r="AD134" s="127">
        <f t="shared" si="51"/>
        <v>5.14</v>
      </c>
    </row>
    <row r="135" spans="1:30" x14ac:dyDescent="0.25">
      <c r="A135" s="69" t="s">
        <v>165</v>
      </c>
      <c r="B135" s="68" t="s">
        <v>94</v>
      </c>
      <c r="C135" s="22">
        <v>275</v>
      </c>
      <c r="D135" s="22">
        <v>0</v>
      </c>
      <c r="E135" s="22">
        <f t="shared" si="53"/>
        <v>275</v>
      </c>
      <c r="F135" s="22">
        <v>0</v>
      </c>
      <c r="G135" s="22">
        <v>0</v>
      </c>
      <c r="H135" s="22">
        <f t="shared" si="59"/>
        <v>275</v>
      </c>
      <c r="I135" s="22">
        <v>0</v>
      </c>
      <c r="J135" s="22">
        <v>0</v>
      </c>
      <c r="K135" s="22">
        <f t="shared" si="60"/>
        <v>275</v>
      </c>
      <c r="L135" s="73">
        <v>2660</v>
      </c>
      <c r="M135" s="22">
        <f t="shared" si="61"/>
        <v>2385</v>
      </c>
      <c r="N135" s="22">
        <f t="shared" si="56"/>
        <v>9.672727272727272</v>
      </c>
      <c r="O135" s="22">
        <v>0</v>
      </c>
      <c r="P135" s="40">
        <f t="shared" si="57"/>
        <v>2660</v>
      </c>
      <c r="Q135" s="22">
        <v>-2</v>
      </c>
      <c r="R135" s="22">
        <v>0</v>
      </c>
      <c r="S135" s="40">
        <f t="shared" si="58"/>
        <v>2658</v>
      </c>
      <c r="T135" s="40">
        <v>0</v>
      </c>
      <c r="U135" s="40">
        <v>0</v>
      </c>
      <c r="V135" s="40">
        <v>0</v>
      </c>
      <c r="W135" s="22">
        <f t="shared" si="62"/>
        <v>2658</v>
      </c>
      <c r="X135" s="22">
        <v>0</v>
      </c>
      <c r="Y135" s="23">
        <v>0</v>
      </c>
      <c r="Z135" s="140">
        <f t="shared" si="52"/>
        <v>2658</v>
      </c>
      <c r="AA135" s="140">
        <v>0</v>
      </c>
      <c r="AB135" s="140">
        <v>0</v>
      </c>
      <c r="AC135" s="140">
        <v>0</v>
      </c>
      <c r="AD135" s="127">
        <f t="shared" ref="AD135:AD198" si="63">SUM(Z135:AC135)</f>
        <v>2658</v>
      </c>
    </row>
    <row r="136" spans="1:30" x14ac:dyDescent="0.25">
      <c r="A136" s="69" t="s">
        <v>166</v>
      </c>
      <c r="B136" s="68" t="s">
        <v>167</v>
      </c>
      <c r="C136" s="22"/>
      <c r="D136" s="22"/>
      <c r="E136" s="22"/>
      <c r="F136" s="22"/>
      <c r="G136" s="22"/>
      <c r="H136" s="22"/>
      <c r="I136" s="22"/>
      <c r="J136" s="22"/>
      <c r="K136" s="22"/>
      <c r="L136" s="73">
        <v>0</v>
      </c>
      <c r="M136" s="22"/>
      <c r="N136" s="22"/>
      <c r="O136" s="22"/>
      <c r="P136" s="40">
        <v>0</v>
      </c>
      <c r="Q136" s="22">
        <v>0</v>
      </c>
      <c r="R136" s="22">
        <f>3193.79</f>
        <v>3193.79</v>
      </c>
      <c r="S136" s="40">
        <f>SUM(P136:R136)</f>
        <v>3193.79</v>
      </c>
      <c r="T136" s="40">
        <v>0</v>
      </c>
      <c r="U136" s="40">
        <v>0</v>
      </c>
      <c r="V136" s="40">
        <v>0</v>
      </c>
      <c r="W136" s="22">
        <f t="shared" si="62"/>
        <v>3193.79</v>
      </c>
      <c r="X136" s="22">
        <v>0</v>
      </c>
      <c r="Y136" s="23">
        <v>0</v>
      </c>
      <c r="Z136" s="140">
        <f t="shared" si="52"/>
        <v>3193.79</v>
      </c>
      <c r="AA136" s="140">
        <v>0</v>
      </c>
      <c r="AB136" s="140">
        <v>0</v>
      </c>
      <c r="AC136" s="140">
        <v>0</v>
      </c>
      <c r="AD136" s="159">
        <f t="shared" si="63"/>
        <v>3193.79</v>
      </c>
    </row>
    <row r="137" spans="1:30" ht="15.75" customHeight="1" x14ac:dyDescent="0.25">
      <c r="A137" s="69" t="s">
        <v>168</v>
      </c>
      <c r="B137" s="68" t="s">
        <v>94</v>
      </c>
      <c r="C137" s="22">
        <v>16616</v>
      </c>
      <c r="D137" s="22">
        <v>0</v>
      </c>
      <c r="E137" s="22">
        <f t="shared" si="53"/>
        <v>16616</v>
      </c>
      <c r="F137" s="22">
        <v>0</v>
      </c>
      <c r="G137" s="22">
        <v>0</v>
      </c>
      <c r="H137" s="22">
        <f t="shared" si="59"/>
        <v>16616</v>
      </c>
      <c r="I137" s="22">
        <v>1039</v>
      </c>
      <c r="J137" s="22">
        <v>0</v>
      </c>
      <c r="K137" s="22">
        <f t="shared" si="60"/>
        <v>17655</v>
      </c>
      <c r="L137" s="73">
        <v>21396</v>
      </c>
      <c r="M137" s="22">
        <f t="shared" si="61"/>
        <v>3741</v>
      </c>
      <c r="N137" s="22">
        <f t="shared" si="56"/>
        <v>1.211894647408666</v>
      </c>
      <c r="O137" s="22">
        <v>0</v>
      </c>
      <c r="P137" s="40">
        <f t="shared" si="57"/>
        <v>21396</v>
      </c>
      <c r="Q137" s="22">
        <v>292</v>
      </c>
      <c r="R137" s="22">
        <v>0</v>
      </c>
      <c r="S137" s="40">
        <f t="shared" si="58"/>
        <v>21688</v>
      </c>
      <c r="T137" s="40">
        <v>0</v>
      </c>
      <c r="U137" s="40">
        <v>0</v>
      </c>
      <c r="V137" s="40">
        <v>0</v>
      </c>
      <c r="W137" s="22">
        <f t="shared" si="62"/>
        <v>21688</v>
      </c>
      <c r="X137" s="22">
        <v>0</v>
      </c>
      <c r="Y137" s="23">
        <v>0</v>
      </c>
      <c r="Z137" s="140">
        <f t="shared" si="52"/>
        <v>21688</v>
      </c>
      <c r="AA137" s="140">
        <v>0</v>
      </c>
      <c r="AB137" s="140">
        <v>0</v>
      </c>
      <c r="AC137" s="144">
        <v>0</v>
      </c>
      <c r="AD137" s="160">
        <f t="shared" si="63"/>
        <v>21688</v>
      </c>
    </row>
    <row r="138" spans="1:30" ht="15.75" customHeight="1" x14ac:dyDescent="0.25">
      <c r="A138" s="69" t="s">
        <v>169</v>
      </c>
      <c r="B138" s="68" t="s">
        <v>94</v>
      </c>
      <c r="C138" s="22"/>
      <c r="D138" s="22"/>
      <c r="E138" s="22"/>
      <c r="F138" s="22"/>
      <c r="G138" s="22"/>
      <c r="H138" s="22"/>
      <c r="I138" s="22"/>
      <c r="J138" s="22"/>
      <c r="K138" s="22"/>
      <c r="L138" s="73">
        <v>0</v>
      </c>
      <c r="M138" s="22"/>
      <c r="N138" s="22"/>
      <c r="O138" s="22"/>
      <c r="P138" s="40">
        <v>0</v>
      </c>
      <c r="Q138" s="22">
        <v>0</v>
      </c>
      <c r="R138" s="22">
        <f>1740</f>
        <v>1740</v>
      </c>
      <c r="S138" s="40">
        <f>SUM(P138:R138)</f>
        <v>1740</v>
      </c>
      <c r="T138" s="40">
        <v>0</v>
      </c>
      <c r="U138" s="40">
        <v>0</v>
      </c>
      <c r="V138" s="40">
        <v>0</v>
      </c>
      <c r="W138" s="22">
        <f t="shared" si="62"/>
        <v>1740</v>
      </c>
      <c r="X138" s="22">
        <v>0</v>
      </c>
      <c r="Y138" s="23">
        <v>0</v>
      </c>
      <c r="Z138" s="144">
        <f t="shared" si="52"/>
        <v>1740</v>
      </c>
      <c r="AA138" s="144">
        <v>0</v>
      </c>
      <c r="AB138" s="144">
        <v>0</v>
      </c>
      <c r="AC138" s="140">
        <v>0</v>
      </c>
      <c r="AD138" s="160">
        <f t="shared" si="63"/>
        <v>1740</v>
      </c>
    </row>
    <row r="139" spans="1:30" x14ac:dyDescent="0.25">
      <c r="A139" s="69" t="s">
        <v>170</v>
      </c>
      <c r="B139" s="68" t="s">
        <v>94</v>
      </c>
      <c r="C139" s="22">
        <v>21765</v>
      </c>
      <c r="D139" s="22">
        <v>0</v>
      </c>
      <c r="E139" s="22">
        <f t="shared" si="53"/>
        <v>21765</v>
      </c>
      <c r="F139" s="22">
        <v>0</v>
      </c>
      <c r="G139" s="22">
        <v>0</v>
      </c>
      <c r="H139" s="22">
        <f t="shared" si="59"/>
        <v>21765</v>
      </c>
      <c r="I139" s="22">
        <v>0</v>
      </c>
      <c r="J139" s="22">
        <v>0</v>
      </c>
      <c r="K139" s="22">
        <f t="shared" si="60"/>
        <v>21765</v>
      </c>
      <c r="L139" s="73">
        <v>26870</v>
      </c>
      <c r="M139" s="22">
        <f t="shared" si="61"/>
        <v>5105</v>
      </c>
      <c r="N139" s="22">
        <f t="shared" si="56"/>
        <v>1.2345508844475075</v>
      </c>
      <c r="O139" s="22">
        <v>0</v>
      </c>
      <c r="P139" s="40">
        <f t="shared" si="57"/>
        <v>26870</v>
      </c>
      <c r="Q139" s="22">
        <v>-39</v>
      </c>
      <c r="R139" s="22">
        <v>0</v>
      </c>
      <c r="S139" s="40">
        <f t="shared" si="58"/>
        <v>26831</v>
      </c>
      <c r="T139" s="40">
        <v>0</v>
      </c>
      <c r="U139" s="40">
        <v>0</v>
      </c>
      <c r="V139" s="40">
        <v>0</v>
      </c>
      <c r="W139" s="22">
        <f t="shared" si="62"/>
        <v>26831</v>
      </c>
      <c r="X139" s="22">
        <v>0</v>
      </c>
      <c r="Y139" s="23">
        <v>0</v>
      </c>
      <c r="Z139" s="144">
        <f t="shared" si="52"/>
        <v>26831</v>
      </c>
      <c r="AA139" s="144">
        <v>0</v>
      </c>
      <c r="AB139" s="144">
        <v>0</v>
      </c>
      <c r="AC139" s="144">
        <v>0</v>
      </c>
      <c r="AD139" s="159">
        <f t="shared" si="63"/>
        <v>26831</v>
      </c>
    </row>
    <row r="140" spans="1:30" ht="51" x14ac:dyDescent="0.25">
      <c r="A140" s="74" t="s">
        <v>171</v>
      </c>
      <c r="B140" s="75" t="s">
        <v>172</v>
      </c>
      <c r="C140" s="162"/>
      <c r="D140" s="162"/>
      <c r="E140" s="162"/>
      <c r="F140" s="162"/>
      <c r="G140" s="162"/>
      <c r="H140" s="162"/>
      <c r="I140" s="162"/>
      <c r="J140" s="162"/>
      <c r="K140" s="162"/>
      <c r="L140" s="76">
        <v>0</v>
      </c>
      <c r="M140" s="162"/>
      <c r="N140" s="162"/>
      <c r="O140" s="162"/>
      <c r="P140" s="163"/>
      <c r="Q140" s="162"/>
      <c r="R140" s="162"/>
      <c r="S140" s="163"/>
      <c r="T140" s="163"/>
      <c r="U140" s="163"/>
      <c r="V140" s="163"/>
      <c r="W140" s="35">
        <v>0</v>
      </c>
      <c r="X140" s="35">
        <f>10000</f>
        <v>10000</v>
      </c>
      <c r="Y140" s="35">
        <f>-455.7</f>
        <v>-455.7</v>
      </c>
      <c r="Z140" s="141">
        <f t="shared" si="52"/>
        <v>9544.2999999999993</v>
      </c>
      <c r="AA140" s="141">
        <f>-60.58</f>
        <v>-60.58</v>
      </c>
      <c r="AB140" s="141">
        <f>-9000</f>
        <v>-9000</v>
      </c>
      <c r="AC140" s="141">
        <v>0</v>
      </c>
      <c r="AD140" s="161">
        <f t="shared" si="63"/>
        <v>483.71999999999935</v>
      </c>
    </row>
    <row r="141" spans="1:30" x14ac:dyDescent="0.25">
      <c r="A141" s="77" t="s">
        <v>173</v>
      </c>
      <c r="B141" s="75" t="s">
        <v>172</v>
      </c>
      <c r="C141" s="164"/>
      <c r="D141" s="165">
        <f>50</f>
        <v>50</v>
      </c>
      <c r="E141" s="162"/>
      <c r="F141" s="162"/>
      <c r="G141" s="162"/>
      <c r="H141" s="162"/>
      <c r="I141" s="162"/>
      <c r="J141" s="162"/>
      <c r="K141" s="162"/>
      <c r="L141" s="76">
        <v>0</v>
      </c>
      <c r="M141" s="162"/>
      <c r="N141" s="162"/>
      <c r="O141" s="162"/>
      <c r="P141" s="163"/>
      <c r="Q141" s="162"/>
      <c r="R141" s="162"/>
      <c r="S141" s="163"/>
      <c r="T141" s="163"/>
      <c r="U141" s="163"/>
      <c r="V141" s="163"/>
      <c r="W141" s="35">
        <v>0</v>
      </c>
      <c r="X141" s="35">
        <v>0</v>
      </c>
      <c r="Y141" s="35">
        <f>50</f>
        <v>50</v>
      </c>
      <c r="Z141" s="141">
        <f t="shared" si="52"/>
        <v>50</v>
      </c>
      <c r="AA141" s="141">
        <v>0</v>
      </c>
      <c r="AB141" s="141">
        <v>0</v>
      </c>
      <c r="AC141" s="141">
        <v>0</v>
      </c>
      <c r="AD141" s="161">
        <f t="shared" si="63"/>
        <v>50</v>
      </c>
    </row>
    <row r="142" spans="1:30" x14ac:dyDescent="0.25">
      <c r="A142" s="77" t="s">
        <v>174</v>
      </c>
      <c r="B142" s="75" t="s">
        <v>172</v>
      </c>
      <c r="C142" s="164"/>
      <c r="D142" s="165"/>
      <c r="E142" s="162"/>
      <c r="F142" s="162"/>
      <c r="G142" s="162"/>
      <c r="H142" s="162"/>
      <c r="I142" s="162"/>
      <c r="J142" s="162"/>
      <c r="K142" s="162"/>
      <c r="L142" s="76">
        <v>0</v>
      </c>
      <c r="M142" s="162"/>
      <c r="N142" s="162"/>
      <c r="O142" s="162"/>
      <c r="P142" s="163"/>
      <c r="Q142" s="162"/>
      <c r="R142" s="162"/>
      <c r="S142" s="163"/>
      <c r="T142" s="163"/>
      <c r="U142" s="163"/>
      <c r="V142" s="163"/>
      <c r="W142" s="35">
        <v>0</v>
      </c>
      <c r="X142" s="35">
        <v>0</v>
      </c>
      <c r="Y142" s="35">
        <f>24.05</f>
        <v>24.05</v>
      </c>
      <c r="Z142" s="141">
        <f t="shared" si="52"/>
        <v>24.05</v>
      </c>
      <c r="AA142" s="141">
        <f>3.48</f>
        <v>3.48</v>
      </c>
      <c r="AB142" s="141">
        <v>0</v>
      </c>
      <c r="AC142" s="141">
        <v>0</v>
      </c>
      <c r="AD142" s="161">
        <f t="shared" si="63"/>
        <v>27.53</v>
      </c>
    </row>
    <row r="143" spans="1:30" x14ac:dyDescent="0.25">
      <c r="A143" s="77" t="s">
        <v>175</v>
      </c>
      <c r="B143" s="75" t="s">
        <v>172</v>
      </c>
      <c r="C143" s="164"/>
      <c r="D143" s="165"/>
      <c r="E143" s="162"/>
      <c r="F143" s="162"/>
      <c r="G143" s="162"/>
      <c r="H143" s="162"/>
      <c r="I143" s="162"/>
      <c r="J143" s="162"/>
      <c r="K143" s="162"/>
      <c r="L143" s="76">
        <v>0</v>
      </c>
      <c r="M143" s="162"/>
      <c r="N143" s="162"/>
      <c r="O143" s="162"/>
      <c r="P143" s="163"/>
      <c r="Q143" s="162"/>
      <c r="R143" s="162"/>
      <c r="S143" s="163"/>
      <c r="T143" s="163"/>
      <c r="U143" s="163"/>
      <c r="V143" s="163"/>
      <c r="W143" s="35">
        <v>0</v>
      </c>
      <c r="X143" s="35">
        <v>0</v>
      </c>
      <c r="Y143" s="35">
        <f>40.26</f>
        <v>40.26</v>
      </c>
      <c r="Z143" s="141">
        <f t="shared" si="52"/>
        <v>40.26</v>
      </c>
      <c r="AA143" s="141">
        <f>7.56</f>
        <v>7.56</v>
      </c>
      <c r="AB143" s="141">
        <v>0</v>
      </c>
      <c r="AC143" s="141">
        <v>0</v>
      </c>
      <c r="AD143" s="161">
        <f t="shared" si="63"/>
        <v>47.82</v>
      </c>
    </row>
    <row r="144" spans="1:30" x14ac:dyDescent="0.25">
      <c r="A144" s="77" t="s">
        <v>176</v>
      </c>
      <c r="B144" s="75" t="s">
        <v>172</v>
      </c>
      <c r="C144" s="164"/>
      <c r="D144" s="165"/>
      <c r="E144" s="162"/>
      <c r="F144" s="162"/>
      <c r="G144" s="162"/>
      <c r="H144" s="162"/>
      <c r="I144" s="162"/>
      <c r="J144" s="162"/>
      <c r="K144" s="162"/>
      <c r="L144" s="76">
        <v>0</v>
      </c>
      <c r="M144" s="162"/>
      <c r="N144" s="162"/>
      <c r="O144" s="162"/>
      <c r="P144" s="163"/>
      <c r="Q144" s="162"/>
      <c r="R144" s="162"/>
      <c r="S144" s="163"/>
      <c r="T144" s="163"/>
      <c r="U144" s="163"/>
      <c r="V144" s="163"/>
      <c r="W144" s="35">
        <v>0</v>
      </c>
      <c r="X144" s="35">
        <v>0</v>
      </c>
      <c r="Y144" s="35">
        <f>94.86</f>
        <v>94.86</v>
      </c>
      <c r="Z144" s="141">
        <f t="shared" si="52"/>
        <v>94.86</v>
      </c>
      <c r="AA144" s="141">
        <v>0</v>
      </c>
      <c r="AB144" s="141">
        <v>0</v>
      </c>
      <c r="AC144" s="141">
        <v>0</v>
      </c>
      <c r="AD144" s="161">
        <f t="shared" si="63"/>
        <v>94.86</v>
      </c>
    </row>
    <row r="145" spans="1:30" x14ac:dyDescent="0.25">
      <c r="A145" s="77" t="s">
        <v>177</v>
      </c>
      <c r="B145" s="75" t="s">
        <v>172</v>
      </c>
      <c r="C145" s="164"/>
      <c r="D145" s="165"/>
      <c r="E145" s="162"/>
      <c r="F145" s="162"/>
      <c r="G145" s="162"/>
      <c r="H145" s="162"/>
      <c r="I145" s="162"/>
      <c r="J145" s="162"/>
      <c r="K145" s="162"/>
      <c r="L145" s="76">
        <v>0</v>
      </c>
      <c r="M145" s="162"/>
      <c r="N145" s="162"/>
      <c r="O145" s="162"/>
      <c r="P145" s="163"/>
      <c r="Q145" s="162"/>
      <c r="R145" s="162"/>
      <c r="S145" s="163"/>
      <c r="T145" s="163"/>
      <c r="U145" s="163"/>
      <c r="V145" s="163"/>
      <c r="W145" s="35">
        <v>0</v>
      </c>
      <c r="X145" s="35">
        <v>0</v>
      </c>
      <c r="Y145" s="35">
        <f>44.85</f>
        <v>44.85</v>
      </c>
      <c r="Z145" s="141">
        <f t="shared" si="52"/>
        <v>44.85</v>
      </c>
      <c r="AA145" s="141">
        <f>23.19</f>
        <v>23.19</v>
      </c>
      <c r="AB145" s="141">
        <v>0</v>
      </c>
      <c r="AC145" s="141">
        <v>0</v>
      </c>
      <c r="AD145" s="161">
        <f t="shared" si="63"/>
        <v>68.040000000000006</v>
      </c>
    </row>
    <row r="146" spans="1:30" x14ac:dyDescent="0.25">
      <c r="A146" s="77" t="s">
        <v>178</v>
      </c>
      <c r="B146" s="75" t="s">
        <v>172</v>
      </c>
      <c r="C146" s="164"/>
      <c r="D146" s="165"/>
      <c r="E146" s="162"/>
      <c r="F146" s="162"/>
      <c r="G146" s="162"/>
      <c r="H146" s="162"/>
      <c r="I146" s="162"/>
      <c r="J146" s="162"/>
      <c r="K146" s="162"/>
      <c r="L146" s="76">
        <v>0</v>
      </c>
      <c r="M146" s="162"/>
      <c r="N146" s="162"/>
      <c r="O146" s="162"/>
      <c r="P146" s="163"/>
      <c r="Q146" s="162"/>
      <c r="R146" s="162"/>
      <c r="S146" s="163"/>
      <c r="T146" s="163"/>
      <c r="U146" s="163"/>
      <c r="V146" s="163"/>
      <c r="W146" s="35">
        <v>0</v>
      </c>
      <c r="X146" s="35">
        <v>0</v>
      </c>
      <c r="Y146" s="35">
        <f>52.4</f>
        <v>52.4</v>
      </c>
      <c r="Z146" s="141">
        <f t="shared" si="52"/>
        <v>52.4</v>
      </c>
      <c r="AA146" s="141">
        <v>0</v>
      </c>
      <c r="AB146" s="141">
        <v>0</v>
      </c>
      <c r="AC146" s="141">
        <v>0</v>
      </c>
      <c r="AD146" s="161">
        <f t="shared" si="63"/>
        <v>52.4</v>
      </c>
    </row>
    <row r="147" spans="1:30" x14ac:dyDescent="0.25">
      <c r="A147" s="77" t="s">
        <v>179</v>
      </c>
      <c r="B147" s="75" t="s">
        <v>172</v>
      </c>
      <c r="C147" s="164"/>
      <c r="D147" s="165"/>
      <c r="E147" s="162"/>
      <c r="F147" s="162"/>
      <c r="G147" s="162"/>
      <c r="H147" s="162"/>
      <c r="I147" s="162"/>
      <c r="J147" s="162"/>
      <c r="K147" s="162"/>
      <c r="L147" s="76">
        <v>0</v>
      </c>
      <c r="M147" s="162"/>
      <c r="N147" s="162"/>
      <c r="O147" s="162"/>
      <c r="P147" s="163"/>
      <c r="Q147" s="162"/>
      <c r="R147" s="162"/>
      <c r="S147" s="163"/>
      <c r="T147" s="163"/>
      <c r="U147" s="163"/>
      <c r="V147" s="163"/>
      <c r="W147" s="35">
        <v>0</v>
      </c>
      <c r="X147" s="35">
        <v>0</v>
      </c>
      <c r="Y147" s="35">
        <f>53.95</f>
        <v>53.95</v>
      </c>
      <c r="Z147" s="141">
        <f t="shared" si="52"/>
        <v>53.95</v>
      </c>
      <c r="AA147" s="141">
        <f>10.07</f>
        <v>10.07</v>
      </c>
      <c r="AB147" s="141">
        <v>0</v>
      </c>
      <c r="AC147" s="141">
        <v>0</v>
      </c>
      <c r="AD147" s="161">
        <f t="shared" si="63"/>
        <v>64.02000000000001</v>
      </c>
    </row>
    <row r="148" spans="1:30" x14ac:dyDescent="0.25">
      <c r="A148" s="77" t="s">
        <v>180</v>
      </c>
      <c r="B148" s="75" t="s">
        <v>172</v>
      </c>
      <c r="C148" s="164"/>
      <c r="D148" s="165"/>
      <c r="E148" s="162"/>
      <c r="F148" s="162"/>
      <c r="G148" s="162"/>
      <c r="H148" s="162"/>
      <c r="I148" s="162"/>
      <c r="J148" s="162"/>
      <c r="K148" s="162"/>
      <c r="L148" s="76">
        <v>0</v>
      </c>
      <c r="M148" s="162"/>
      <c r="N148" s="162"/>
      <c r="O148" s="162"/>
      <c r="P148" s="163"/>
      <c r="Q148" s="162"/>
      <c r="R148" s="162"/>
      <c r="S148" s="163"/>
      <c r="T148" s="163"/>
      <c r="U148" s="163"/>
      <c r="V148" s="163"/>
      <c r="W148" s="35">
        <v>0</v>
      </c>
      <c r="X148" s="35">
        <v>0</v>
      </c>
      <c r="Y148" s="35">
        <f>59.2</f>
        <v>59.2</v>
      </c>
      <c r="Z148" s="141">
        <f t="shared" si="52"/>
        <v>59.2</v>
      </c>
      <c r="AA148" s="141">
        <f>12.6</f>
        <v>12.6</v>
      </c>
      <c r="AB148" s="141">
        <v>0</v>
      </c>
      <c r="AC148" s="141">
        <v>0</v>
      </c>
      <c r="AD148" s="161">
        <f t="shared" si="63"/>
        <v>71.8</v>
      </c>
    </row>
    <row r="149" spans="1:30" x14ac:dyDescent="0.25">
      <c r="A149" s="77" t="s">
        <v>181</v>
      </c>
      <c r="B149" s="75" t="s">
        <v>172</v>
      </c>
      <c r="C149" s="164"/>
      <c r="D149" s="165"/>
      <c r="E149" s="162"/>
      <c r="F149" s="162"/>
      <c r="G149" s="162"/>
      <c r="H149" s="162"/>
      <c r="I149" s="162"/>
      <c r="J149" s="162"/>
      <c r="K149" s="162"/>
      <c r="L149" s="76">
        <v>0</v>
      </c>
      <c r="M149" s="162"/>
      <c r="N149" s="162"/>
      <c r="O149" s="162"/>
      <c r="P149" s="163"/>
      <c r="Q149" s="162"/>
      <c r="R149" s="162"/>
      <c r="S149" s="163"/>
      <c r="T149" s="163"/>
      <c r="U149" s="163"/>
      <c r="V149" s="163"/>
      <c r="W149" s="35">
        <v>0</v>
      </c>
      <c r="X149" s="35">
        <v>0</v>
      </c>
      <c r="Y149" s="35">
        <f>6.33</f>
        <v>6.33</v>
      </c>
      <c r="Z149" s="141">
        <f t="shared" si="52"/>
        <v>6.33</v>
      </c>
      <c r="AA149" s="141">
        <v>0</v>
      </c>
      <c r="AB149" s="141">
        <v>0</v>
      </c>
      <c r="AC149" s="141">
        <v>0</v>
      </c>
      <c r="AD149" s="161">
        <f t="shared" si="63"/>
        <v>6.33</v>
      </c>
    </row>
    <row r="150" spans="1:30" x14ac:dyDescent="0.25">
      <c r="A150" s="77" t="s">
        <v>182</v>
      </c>
      <c r="B150" s="75" t="s">
        <v>172</v>
      </c>
      <c r="C150" s="164"/>
      <c r="D150" s="165"/>
      <c r="E150" s="162"/>
      <c r="F150" s="162"/>
      <c r="G150" s="162"/>
      <c r="H150" s="162"/>
      <c r="I150" s="162"/>
      <c r="J150" s="162"/>
      <c r="K150" s="162"/>
      <c r="L150" s="76">
        <v>0</v>
      </c>
      <c r="M150" s="162"/>
      <c r="N150" s="162"/>
      <c r="O150" s="162"/>
      <c r="P150" s="163"/>
      <c r="Q150" s="162"/>
      <c r="R150" s="162"/>
      <c r="S150" s="163"/>
      <c r="T150" s="163"/>
      <c r="U150" s="163"/>
      <c r="V150" s="163"/>
      <c r="W150" s="35">
        <v>0</v>
      </c>
      <c r="X150" s="35">
        <v>0</v>
      </c>
      <c r="Y150" s="35">
        <f>6.29</f>
        <v>6.29</v>
      </c>
      <c r="Z150" s="141">
        <f t="shared" si="52"/>
        <v>6.29</v>
      </c>
      <c r="AA150" s="141">
        <v>0</v>
      </c>
      <c r="AB150" s="141">
        <v>0</v>
      </c>
      <c r="AC150" s="141">
        <v>0</v>
      </c>
      <c r="AD150" s="161">
        <f t="shared" si="63"/>
        <v>6.29</v>
      </c>
    </row>
    <row r="151" spans="1:30" x14ac:dyDescent="0.25">
      <c r="A151" s="77" t="s">
        <v>183</v>
      </c>
      <c r="B151" s="75" t="s">
        <v>172</v>
      </c>
      <c r="C151" s="164"/>
      <c r="D151" s="165"/>
      <c r="E151" s="162"/>
      <c r="F151" s="162"/>
      <c r="G151" s="162"/>
      <c r="H151" s="162"/>
      <c r="I151" s="162"/>
      <c r="J151" s="162"/>
      <c r="K151" s="162"/>
      <c r="L151" s="76">
        <v>0</v>
      </c>
      <c r="M151" s="162"/>
      <c r="N151" s="162"/>
      <c r="O151" s="162"/>
      <c r="P151" s="163"/>
      <c r="Q151" s="162"/>
      <c r="R151" s="162"/>
      <c r="S151" s="163"/>
      <c r="T151" s="163"/>
      <c r="U151" s="163"/>
      <c r="V151" s="163"/>
      <c r="W151" s="35">
        <v>0</v>
      </c>
      <c r="X151" s="35">
        <v>0</v>
      </c>
      <c r="Y151" s="35">
        <f>1.19</f>
        <v>1.19</v>
      </c>
      <c r="Z151" s="141">
        <f t="shared" si="52"/>
        <v>1.19</v>
      </c>
      <c r="AA151" s="141">
        <v>0</v>
      </c>
      <c r="AB151" s="141">
        <v>0</v>
      </c>
      <c r="AC151" s="141">
        <v>0</v>
      </c>
      <c r="AD151" s="161">
        <f t="shared" si="63"/>
        <v>1.19</v>
      </c>
    </row>
    <row r="152" spans="1:30" x14ac:dyDescent="0.25">
      <c r="A152" s="78" t="s">
        <v>184</v>
      </c>
      <c r="B152" s="79" t="s">
        <v>172</v>
      </c>
      <c r="C152" s="80"/>
      <c r="D152" s="81"/>
      <c r="E152" s="82"/>
      <c r="F152" s="82"/>
      <c r="G152" s="82"/>
      <c r="H152" s="82"/>
      <c r="I152" s="82"/>
      <c r="J152" s="82"/>
      <c r="K152" s="82"/>
      <c r="L152" s="83">
        <v>0</v>
      </c>
      <c r="M152" s="82"/>
      <c r="N152" s="82"/>
      <c r="O152" s="82"/>
      <c r="P152" s="84"/>
      <c r="Q152" s="82"/>
      <c r="R152" s="82"/>
      <c r="S152" s="84"/>
      <c r="T152" s="84"/>
      <c r="U152" s="84"/>
      <c r="V152" s="84"/>
      <c r="W152" s="19">
        <v>0</v>
      </c>
      <c r="X152" s="19">
        <v>0</v>
      </c>
      <c r="Y152" s="19">
        <f>22.32</f>
        <v>22.32</v>
      </c>
      <c r="Z152" s="140">
        <f t="shared" si="52"/>
        <v>22.32</v>
      </c>
      <c r="AA152" s="140">
        <f>3.68</f>
        <v>3.68</v>
      </c>
      <c r="AB152" s="140">
        <v>0</v>
      </c>
      <c r="AC152" s="140">
        <v>0</v>
      </c>
      <c r="AD152" s="160">
        <f t="shared" si="63"/>
        <v>26</v>
      </c>
    </row>
    <row r="153" spans="1:30" ht="15" customHeight="1" x14ac:dyDescent="0.25">
      <c r="A153" s="85" t="s">
        <v>185</v>
      </c>
      <c r="B153" s="86" t="s">
        <v>94</v>
      </c>
      <c r="C153" s="18">
        <v>400</v>
      </c>
      <c r="D153" s="18">
        <v>0</v>
      </c>
      <c r="E153" s="18">
        <f t="shared" si="53"/>
        <v>400</v>
      </c>
      <c r="F153" s="18">
        <v>0</v>
      </c>
      <c r="G153" s="18">
        <v>0</v>
      </c>
      <c r="H153" s="18">
        <f t="shared" si="59"/>
        <v>400</v>
      </c>
      <c r="I153" s="18">
        <v>0</v>
      </c>
      <c r="J153" s="18">
        <v>0</v>
      </c>
      <c r="K153" s="19">
        <f t="shared" si="60"/>
        <v>400</v>
      </c>
      <c r="L153" s="87">
        <v>400</v>
      </c>
      <c r="M153" s="18">
        <f t="shared" si="61"/>
        <v>0</v>
      </c>
      <c r="N153" s="18">
        <f t="shared" si="56"/>
        <v>1</v>
      </c>
      <c r="O153" s="18">
        <v>0</v>
      </c>
      <c r="P153" s="88">
        <f t="shared" si="57"/>
        <v>400</v>
      </c>
      <c r="Q153" s="18">
        <v>0</v>
      </c>
      <c r="R153" s="18">
        <v>0</v>
      </c>
      <c r="S153" s="88">
        <f t="shared" si="58"/>
        <v>400</v>
      </c>
      <c r="T153" s="88">
        <v>0</v>
      </c>
      <c r="U153" s="88">
        <v>0</v>
      </c>
      <c r="V153" s="89">
        <v>0</v>
      </c>
      <c r="W153" s="19">
        <f t="shared" si="62"/>
        <v>400</v>
      </c>
      <c r="X153" s="19">
        <v>0</v>
      </c>
      <c r="Y153" s="19">
        <v>0</v>
      </c>
      <c r="Z153" s="140">
        <f t="shared" si="52"/>
        <v>400</v>
      </c>
      <c r="AA153" s="140">
        <v>0</v>
      </c>
      <c r="AB153" s="140">
        <v>0</v>
      </c>
      <c r="AC153" s="140">
        <v>0</v>
      </c>
      <c r="AD153" s="159">
        <f t="shared" si="63"/>
        <v>400</v>
      </c>
    </row>
    <row r="154" spans="1:30" ht="24.75" customHeight="1" x14ac:dyDescent="0.25">
      <c r="A154" s="20" t="s">
        <v>186</v>
      </c>
      <c r="B154" s="68" t="s">
        <v>73</v>
      </c>
      <c r="C154" s="22"/>
      <c r="D154" s="22"/>
      <c r="E154" s="22"/>
      <c r="F154" s="22"/>
      <c r="G154" s="22"/>
      <c r="H154" s="22"/>
      <c r="I154" s="22"/>
      <c r="J154" s="22"/>
      <c r="K154" s="22"/>
      <c r="L154" s="73">
        <v>0</v>
      </c>
      <c r="M154" s="22"/>
      <c r="N154" s="22"/>
      <c r="O154" s="22"/>
      <c r="P154" s="40">
        <v>0</v>
      </c>
      <c r="Q154" s="22">
        <v>0</v>
      </c>
      <c r="R154" s="22">
        <f>50</f>
        <v>50</v>
      </c>
      <c r="S154" s="40">
        <f>SUM(P154:R154)</f>
        <v>50</v>
      </c>
      <c r="T154" s="40">
        <v>0</v>
      </c>
      <c r="U154" s="40">
        <v>0</v>
      </c>
      <c r="V154" s="40">
        <v>0</v>
      </c>
      <c r="W154" s="22">
        <f t="shared" si="62"/>
        <v>50</v>
      </c>
      <c r="X154" s="22">
        <v>0</v>
      </c>
      <c r="Y154" s="23">
        <v>0</v>
      </c>
      <c r="Z154" s="140">
        <f t="shared" si="52"/>
        <v>50</v>
      </c>
      <c r="AA154" s="140">
        <v>0</v>
      </c>
      <c r="AB154" s="140">
        <v>0</v>
      </c>
      <c r="AC154" s="140">
        <v>0</v>
      </c>
      <c r="AD154" s="159">
        <f t="shared" si="63"/>
        <v>50</v>
      </c>
    </row>
    <row r="155" spans="1:30" ht="15" customHeight="1" x14ac:dyDescent="0.25">
      <c r="A155" s="20" t="s">
        <v>187</v>
      </c>
      <c r="B155" s="68" t="s">
        <v>188</v>
      </c>
      <c r="C155" s="22">
        <v>137.4</v>
      </c>
      <c r="D155" s="22">
        <v>0</v>
      </c>
      <c r="E155" s="22">
        <f t="shared" si="53"/>
        <v>137.4</v>
      </c>
      <c r="F155" s="22">
        <v>0</v>
      </c>
      <c r="G155" s="22">
        <v>0</v>
      </c>
      <c r="H155" s="22">
        <f t="shared" si="59"/>
        <v>137.4</v>
      </c>
      <c r="I155" s="22">
        <v>0</v>
      </c>
      <c r="J155" s="22">
        <v>0</v>
      </c>
      <c r="K155" s="22">
        <f t="shared" si="60"/>
        <v>137.4</v>
      </c>
      <c r="L155" s="73">
        <v>139.94999999999999</v>
      </c>
      <c r="M155" s="22">
        <f t="shared" si="61"/>
        <v>2.5499999999999829</v>
      </c>
      <c r="N155" s="22">
        <f t="shared" si="56"/>
        <v>1.0185589519650653</v>
      </c>
      <c r="O155" s="22">
        <v>0</v>
      </c>
      <c r="P155" s="40">
        <f t="shared" si="57"/>
        <v>139.94999999999999</v>
      </c>
      <c r="Q155" s="22">
        <v>0</v>
      </c>
      <c r="R155" s="22">
        <v>0</v>
      </c>
      <c r="S155" s="40">
        <f t="shared" si="58"/>
        <v>139.94999999999999</v>
      </c>
      <c r="T155" s="40">
        <v>0</v>
      </c>
      <c r="U155" s="40">
        <v>0</v>
      </c>
      <c r="V155" s="40">
        <v>0</v>
      </c>
      <c r="W155" s="22">
        <f t="shared" si="62"/>
        <v>139.94999999999999</v>
      </c>
      <c r="X155" s="22">
        <v>0</v>
      </c>
      <c r="Y155" s="23">
        <v>0</v>
      </c>
      <c r="Z155" s="140">
        <f t="shared" si="52"/>
        <v>139.94999999999999</v>
      </c>
      <c r="AA155" s="140">
        <v>0</v>
      </c>
      <c r="AB155" s="140">
        <v>0</v>
      </c>
      <c r="AC155" s="140">
        <v>0</v>
      </c>
      <c r="AD155" s="159">
        <f t="shared" si="63"/>
        <v>139.94999999999999</v>
      </c>
    </row>
    <row r="156" spans="1:30" ht="15" customHeight="1" x14ac:dyDescent="0.25">
      <c r="A156" s="20" t="s">
        <v>189</v>
      </c>
      <c r="B156" s="68" t="s">
        <v>190</v>
      </c>
      <c r="C156" s="22">
        <v>0</v>
      </c>
      <c r="D156" s="22"/>
      <c r="E156" s="22"/>
      <c r="F156" s="22"/>
      <c r="G156" s="22"/>
      <c r="H156" s="22"/>
      <c r="I156" s="22"/>
      <c r="J156" s="22"/>
      <c r="K156" s="22">
        <v>0</v>
      </c>
      <c r="L156" s="73">
        <v>1250</v>
      </c>
      <c r="M156" s="22">
        <f>L156-K156</f>
        <v>1250</v>
      </c>
      <c r="N156" s="40" t="s">
        <v>46</v>
      </c>
      <c r="O156" s="40">
        <v>0</v>
      </c>
      <c r="P156" s="40">
        <f t="shared" si="57"/>
        <v>1250</v>
      </c>
      <c r="Q156" s="40">
        <v>0</v>
      </c>
      <c r="R156" s="40">
        <v>0</v>
      </c>
      <c r="S156" s="40">
        <f t="shared" si="58"/>
        <v>1250</v>
      </c>
      <c r="T156" s="40">
        <v>0</v>
      </c>
      <c r="U156" s="40">
        <v>0</v>
      </c>
      <c r="V156" s="40">
        <v>0</v>
      </c>
      <c r="W156" s="22">
        <f t="shared" si="62"/>
        <v>1250</v>
      </c>
      <c r="X156" s="22">
        <v>0</v>
      </c>
      <c r="Y156" s="23">
        <v>0</v>
      </c>
      <c r="Z156" s="140">
        <f t="shared" si="52"/>
        <v>1250</v>
      </c>
      <c r="AA156" s="140">
        <v>0</v>
      </c>
      <c r="AB156" s="140">
        <v>0</v>
      </c>
      <c r="AC156" s="140">
        <v>0</v>
      </c>
      <c r="AD156" s="159">
        <f t="shared" si="63"/>
        <v>1250</v>
      </c>
    </row>
    <row r="157" spans="1:30" ht="15" customHeight="1" x14ac:dyDescent="0.25">
      <c r="A157" s="20" t="s">
        <v>191</v>
      </c>
      <c r="B157" s="68" t="s">
        <v>190</v>
      </c>
      <c r="C157" s="22">
        <v>0</v>
      </c>
      <c r="D157" s="22"/>
      <c r="E157" s="22"/>
      <c r="F157" s="22"/>
      <c r="G157" s="22"/>
      <c r="H157" s="22"/>
      <c r="I157" s="22"/>
      <c r="J157" s="22"/>
      <c r="K157" s="22">
        <v>0</v>
      </c>
      <c r="L157" s="73">
        <v>1250</v>
      </c>
      <c r="M157" s="22">
        <f>L157-K157</f>
        <v>1250</v>
      </c>
      <c r="N157" s="40" t="s">
        <v>46</v>
      </c>
      <c r="O157" s="40">
        <v>0</v>
      </c>
      <c r="P157" s="40">
        <f t="shared" si="57"/>
        <v>1250</v>
      </c>
      <c r="Q157" s="40">
        <v>0</v>
      </c>
      <c r="R157" s="40">
        <v>0</v>
      </c>
      <c r="S157" s="40">
        <f t="shared" si="58"/>
        <v>1250</v>
      </c>
      <c r="T157" s="40">
        <v>0</v>
      </c>
      <c r="U157" s="40">
        <v>0</v>
      </c>
      <c r="V157" s="40">
        <v>0</v>
      </c>
      <c r="W157" s="22">
        <f t="shared" si="62"/>
        <v>1250</v>
      </c>
      <c r="X157" s="22">
        <v>0</v>
      </c>
      <c r="Y157" s="23">
        <v>0</v>
      </c>
      <c r="Z157" s="140">
        <f t="shared" si="52"/>
        <v>1250</v>
      </c>
      <c r="AA157" s="140">
        <v>0</v>
      </c>
      <c r="AB157" s="140">
        <v>0</v>
      </c>
      <c r="AC157" s="140">
        <v>0</v>
      </c>
      <c r="AD157" s="159">
        <f t="shared" si="63"/>
        <v>1250</v>
      </c>
    </row>
    <row r="158" spans="1:30" ht="25.5" customHeight="1" x14ac:dyDescent="0.25">
      <c r="A158" s="20" t="s">
        <v>192</v>
      </c>
      <c r="B158" s="68" t="s">
        <v>190</v>
      </c>
      <c r="C158" s="22">
        <v>0</v>
      </c>
      <c r="D158" s="22"/>
      <c r="E158" s="22"/>
      <c r="F158" s="22"/>
      <c r="G158" s="22"/>
      <c r="H158" s="22"/>
      <c r="I158" s="22"/>
      <c r="J158" s="22"/>
      <c r="K158" s="22">
        <v>0</v>
      </c>
      <c r="L158" s="73">
        <v>1500</v>
      </c>
      <c r="M158" s="22">
        <f>L158-K158</f>
        <v>1500</v>
      </c>
      <c r="N158" s="40" t="s">
        <v>46</v>
      </c>
      <c r="O158" s="40">
        <v>0</v>
      </c>
      <c r="P158" s="40">
        <f t="shared" si="57"/>
        <v>1500</v>
      </c>
      <c r="Q158" s="40">
        <v>0</v>
      </c>
      <c r="R158" s="40">
        <v>0</v>
      </c>
      <c r="S158" s="40">
        <f t="shared" si="58"/>
        <v>1500</v>
      </c>
      <c r="T158" s="40">
        <v>0</v>
      </c>
      <c r="U158" s="40">
        <v>0</v>
      </c>
      <c r="V158" s="40">
        <v>0</v>
      </c>
      <c r="W158" s="22">
        <f t="shared" si="62"/>
        <v>1500</v>
      </c>
      <c r="X158" s="22">
        <f>150</f>
        <v>150</v>
      </c>
      <c r="Y158" s="23">
        <v>0</v>
      </c>
      <c r="Z158" s="140">
        <f t="shared" si="52"/>
        <v>1650</v>
      </c>
      <c r="AA158" s="140">
        <v>0</v>
      </c>
      <c r="AB158" s="140">
        <v>0</v>
      </c>
      <c r="AC158" s="140">
        <v>0</v>
      </c>
      <c r="AD158" s="127">
        <f t="shared" si="63"/>
        <v>1650</v>
      </c>
    </row>
    <row r="159" spans="1:30" ht="24.75" customHeight="1" x14ac:dyDescent="0.25">
      <c r="A159" s="20" t="s">
        <v>193</v>
      </c>
      <c r="B159" s="68" t="s">
        <v>194</v>
      </c>
      <c r="C159" s="22"/>
      <c r="D159" s="22"/>
      <c r="E159" s="22"/>
      <c r="F159" s="22"/>
      <c r="G159" s="22"/>
      <c r="H159" s="22"/>
      <c r="I159" s="22"/>
      <c r="J159" s="22"/>
      <c r="K159" s="22"/>
      <c r="L159" s="73">
        <v>0</v>
      </c>
      <c r="M159" s="22"/>
      <c r="N159" s="40"/>
      <c r="O159" s="40"/>
      <c r="P159" s="40"/>
      <c r="Q159" s="40"/>
      <c r="R159" s="40"/>
      <c r="S159" s="40">
        <v>0</v>
      </c>
      <c r="T159" s="40">
        <v>1000</v>
      </c>
      <c r="U159" s="40">
        <v>0</v>
      </c>
      <c r="V159" s="40">
        <v>0</v>
      </c>
      <c r="W159" s="22">
        <f t="shared" si="62"/>
        <v>1000</v>
      </c>
      <c r="X159" s="22">
        <v>0</v>
      </c>
      <c r="Y159" s="23">
        <v>0</v>
      </c>
      <c r="Z159" s="140">
        <f t="shared" si="52"/>
        <v>1000</v>
      </c>
      <c r="AA159" s="140">
        <v>0</v>
      </c>
      <c r="AB159" s="140">
        <v>0</v>
      </c>
      <c r="AC159" s="140">
        <v>0</v>
      </c>
      <c r="AD159" s="127">
        <f t="shared" si="63"/>
        <v>1000</v>
      </c>
    </row>
    <row r="160" spans="1:30" ht="24.75" customHeight="1" x14ac:dyDescent="0.25">
      <c r="A160" s="20" t="s">
        <v>195</v>
      </c>
      <c r="B160" s="68" t="s">
        <v>94</v>
      </c>
      <c r="C160" s="22">
        <v>200</v>
      </c>
      <c r="D160" s="22">
        <v>0</v>
      </c>
      <c r="E160" s="22">
        <f t="shared" si="53"/>
        <v>200</v>
      </c>
      <c r="F160" s="22">
        <v>0</v>
      </c>
      <c r="G160" s="22">
        <v>0</v>
      </c>
      <c r="H160" s="22">
        <f t="shared" si="59"/>
        <v>200</v>
      </c>
      <c r="I160" s="22">
        <v>0</v>
      </c>
      <c r="J160" s="22">
        <v>0</v>
      </c>
      <c r="K160" s="22">
        <f t="shared" si="60"/>
        <v>200</v>
      </c>
      <c r="L160" s="73">
        <v>400</v>
      </c>
      <c r="M160" s="22">
        <f t="shared" si="61"/>
        <v>200</v>
      </c>
      <c r="N160" s="22">
        <f t="shared" si="56"/>
        <v>2</v>
      </c>
      <c r="O160" s="22">
        <v>0</v>
      </c>
      <c r="P160" s="40">
        <f t="shared" si="57"/>
        <v>400</v>
      </c>
      <c r="Q160" s="22">
        <v>0</v>
      </c>
      <c r="R160" s="22">
        <v>0</v>
      </c>
      <c r="S160" s="40">
        <f t="shared" si="58"/>
        <v>400</v>
      </c>
      <c r="T160" s="40">
        <v>0</v>
      </c>
      <c r="U160" s="40">
        <v>0</v>
      </c>
      <c r="V160" s="40">
        <v>0</v>
      </c>
      <c r="W160" s="22">
        <f t="shared" si="62"/>
        <v>400</v>
      </c>
      <c r="X160" s="22">
        <v>0</v>
      </c>
      <c r="Y160" s="23">
        <v>0</v>
      </c>
      <c r="Z160" s="140">
        <f t="shared" si="52"/>
        <v>400</v>
      </c>
      <c r="AA160" s="140">
        <v>0</v>
      </c>
      <c r="AB160" s="140">
        <v>0</v>
      </c>
      <c r="AC160" s="140">
        <v>0</v>
      </c>
      <c r="AD160" s="127">
        <f t="shared" si="63"/>
        <v>400</v>
      </c>
    </row>
    <row r="161" spans="1:30" ht="15" customHeight="1" x14ac:dyDescent="0.25">
      <c r="A161" s="20" t="s">
        <v>196</v>
      </c>
      <c r="B161" s="68" t="s">
        <v>94</v>
      </c>
      <c r="C161" s="22"/>
      <c r="D161" s="22"/>
      <c r="E161" s="22"/>
      <c r="F161" s="22"/>
      <c r="G161" s="22"/>
      <c r="H161" s="22"/>
      <c r="I161" s="22"/>
      <c r="J161" s="22"/>
      <c r="K161" s="22"/>
      <c r="L161" s="73">
        <v>0</v>
      </c>
      <c r="M161" s="22"/>
      <c r="N161" s="22"/>
      <c r="O161" s="22"/>
      <c r="P161" s="40">
        <v>0</v>
      </c>
      <c r="Q161" s="22">
        <v>0</v>
      </c>
      <c r="R161" s="22">
        <f>217</f>
        <v>217</v>
      </c>
      <c r="S161" s="40">
        <f>SUM(P161:R161)</f>
        <v>217</v>
      </c>
      <c r="T161" s="40">
        <v>0</v>
      </c>
      <c r="U161" s="40">
        <v>0</v>
      </c>
      <c r="V161" s="40">
        <v>0</v>
      </c>
      <c r="W161" s="22">
        <f t="shared" si="62"/>
        <v>217</v>
      </c>
      <c r="X161" s="22">
        <v>0</v>
      </c>
      <c r="Y161" s="23">
        <v>0</v>
      </c>
      <c r="Z161" s="140">
        <f t="shared" si="52"/>
        <v>217</v>
      </c>
      <c r="AA161" s="140">
        <v>0</v>
      </c>
      <c r="AB161" s="140">
        <v>0</v>
      </c>
      <c r="AC161" s="140">
        <v>0</v>
      </c>
      <c r="AD161" s="127">
        <f t="shared" si="63"/>
        <v>217</v>
      </c>
    </row>
    <row r="162" spans="1:30" ht="15" customHeight="1" x14ac:dyDescent="0.25">
      <c r="A162" s="20" t="s">
        <v>197</v>
      </c>
      <c r="B162" s="68" t="s">
        <v>94</v>
      </c>
      <c r="C162" s="22"/>
      <c r="D162" s="22"/>
      <c r="E162" s="22"/>
      <c r="F162" s="22"/>
      <c r="G162" s="22"/>
      <c r="H162" s="22"/>
      <c r="I162" s="22"/>
      <c r="J162" s="22"/>
      <c r="K162" s="22"/>
      <c r="L162" s="73">
        <v>0</v>
      </c>
      <c r="M162" s="22"/>
      <c r="N162" s="22"/>
      <c r="O162" s="22"/>
      <c r="P162" s="40"/>
      <c r="Q162" s="22"/>
      <c r="R162" s="22"/>
      <c r="S162" s="40"/>
      <c r="T162" s="40"/>
      <c r="U162" s="40"/>
      <c r="V162" s="40"/>
      <c r="W162" s="22">
        <f>244</f>
        <v>244</v>
      </c>
      <c r="X162" s="22">
        <v>0</v>
      </c>
      <c r="Y162" s="23">
        <v>0</v>
      </c>
      <c r="Z162" s="140">
        <f t="shared" si="52"/>
        <v>244</v>
      </c>
      <c r="AA162" s="140">
        <f>-28.86</f>
        <v>-28.86</v>
      </c>
      <c r="AB162" s="140">
        <v>0</v>
      </c>
      <c r="AC162" s="140">
        <v>0</v>
      </c>
      <c r="AD162" s="127">
        <f t="shared" si="63"/>
        <v>215.14</v>
      </c>
    </row>
    <row r="163" spans="1:30" ht="24" customHeight="1" x14ac:dyDescent="0.25">
      <c r="A163" s="20" t="s">
        <v>198</v>
      </c>
      <c r="B163" s="68" t="s">
        <v>199</v>
      </c>
      <c r="C163" s="22">
        <v>50</v>
      </c>
      <c r="D163" s="22">
        <v>0</v>
      </c>
      <c r="E163" s="22">
        <f t="shared" si="53"/>
        <v>50</v>
      </c>
      <c r="F163" s="22">
        <v>0</v>
      </c>
      <c r="G163" s="22">
        <v>0</v>
      </c>
      <c r="H163" s="22">
        <f t="shared" si="59"/>
        <v>50</v>
      </c>
      <c r="I163" s="22">
        <v>0</v>
      </c>
      <c r="J163" s="22">
        <v>0</v>
      </c>
      <c r="K163" s="22">
        <f t="shared" si="60"/>
        <v>50</v>
      </c>
      <c r="L163" s="73">
        <v>50</v>
      </c>
      <c r="M163" s="22">
        <f t="shared" si="61"/>
        <v>0</v>
      </c>
      <c r="N163" s="22">
        <f t="shared" si="56"/>
        <v>1</v>
      </c>
      <c r="O163" s="22">
        <v>0</v>
      </c>
      <c r="P163" s="40">
        <f t="shared" si="57"/>
        <v>50</v>
      </c>
      <c r="Q163" s="22">
        <v>0</v>
      </c>
      <c r="R163" s="22">
        <v>0</v>
      </c>
      <c r="S163" s="40">
        <f t="shared" si="58"/>
        <v>50</v>
      </c>
      <c r="T163" s="40">
        <v>0</v>
      </c>
      <c r="U163" s="40">
        <v>0</v>
      </c>
      <c r="V163" s="40">
        <v>0</v>
      </c>
      <c r="W163" s="22">
        <f t="shared" si="62"/>
        <v>50</v>
      </c>
      <c r="X163" s="22">
        <v>0</v>
      </c>
      <c r="Y163" s="23">
        <v>0</v>
      </c>
      <c r="Z163" s="140">
        <f t="shared" si="52"/>
        <v>50</v>
      </c>
      <c r="AA163" s="140">
        <v>0</v>
      </c>
      <c r="AB163" s="140">
        <v>0</v>
      </c>
      <c r="AC163" s="140">
        <v>0</v>
      </c>
      <c r="AD163" s="127">
        <f t="shared" si="63"/>
        <v>50</v>
      </c>
    </row>
    <row r="164" spans="1:30" ht="24" customHeight="1" x14ac:dyDescent="0.25">
      <c r="A164" s="20" t="s">
        <v>198</v>
      </c>
      <c r="B164" s="68" t="s">
        <v>200</v>
      </c>
      <c r="C164" s="22"/>
      <c r="D164" s="22"/>
      <c r="E164" s="22"/>
      <c r="F164" s="22"/>
      <c r="G164" s="22"/>
      <c r="H164" s="22"/>
      <c r="I164" s="22"/>
      <c r="J164" s="22"/>
      <c r="K164" s="22"/>
      <c r="L164" s="73">
        <v>0</v>
      </c>
      <c r="M164" s="22"/>
      <c r="N164" s="22"/>
      <c r="O164" s="22"/>
      <c r="P164" s="40"/>
      <c r="Q164" s="22"/>
      <c r="R164" s="22"/>
      <c r="S164" s="40"/>
      <c r="T164" s="40"/>
      <c r="U164" s="40"/>
      <c r="V164" s="40"/>
      <c r="W164" s="22">
        <f>41</f>
        <v>41</v>
      </c>
      <c r="X164" s="22">
        <v>0</v>
      </c>
      <c r="Y164" s="23">
        <v>0</v>
      </c>
      <c r="Z164" s="140">
        <f t="shared" ref="Z164:Z230" si="64">SUM(W164:Y164)</f>
        <v>41</v>
      </c>
      <c r="AA164" s="140">
        <v>0</v>
      </c>
      <c r="AB164" s="140">
        <v>0</v>
      </c>
      <c r="AC164" s="140">
        <v>0</v>
      </c>
      <c r="AD164" s="127">
        <f t="shared" si="63"/>
        <v>41</v>
      </c>
    </row>
    <row r="165" spans="1:30" ht="27" customHeight="1" x14ac:dyDescent="0.25">
      <c r="A165" s="20" t="s">
        <v>201</v>
      </c>
      <c r="B165" s="68" t="s">
        <v>94</v>
      </c>
      <c r="C165" s="22"/>
      <c r="D165" s="22"/>
      <c r="E165" s="22"/>
      <c r="F165" s="22"/>
      <c r="G165" s="22"/>
      <c r="H165" s="22"/>
      <c r="I165" s="22"/>
      <c r="J165" s="22"/>
      <c r="K165" s="22"/>
      <c r="L165" s="73">
        <v>0</v>
      </c>
      <c r="M165" s="22"/>
      <c r="N165" s="22"/>
      <c r="O165" s="22"/>
      <c r="P165" s="40">
        <v>0</v>
      </c>
      <c r="Q165" s="22">
        <v>250</v>
      </c>
      <c r="R165" s="22">
        <v>0</v>
      </c>
      <c r="S165" s="40">
        <f t="shared" si="58"/>
        <v>250</v>
      </c>
      <c r="T165" s="40">
        <v>0</v>
      </c>
      <c r="U165" s="40">
        <v>0</v>
      </c>
      <c r="V165" s="40">
        <v>0</v>
      </c>
      <c r="W165" s="22">
        <f t="shared" si="62"/>
        <v>250</v>
      </c>
      <c r="X165" s="22">
        <v>0</v>
      </c>
      <c r="Y165" s="23">
        <v>0</v>
      </c>
      <c r="Z165" s="140">
        <f t="shared" si="64"/>
        <v>250</v>
      </c>
      <c r="AA165" s="140">
        <v>0</v>
      </c>
      <c r="AB165" s="140">
        <v>0</v>
      </c>
      <c r="AC165" s="140">
        <v>0</v>
      </c>
      <c r="AD165" s="127">
        <f t="shared" si="63"/>
        <v>250</v>
      </c>
    </row>
    <row r="166" spans="1:30" ht="15" customHeight="1" x14ac:dyDescent="0.25">
      <c r="A166" s="20" t="s">
        <v>202</v>
      </c>
      <c r="B166" s="68" t="s">
        <v>190</v>
      </c>
      <c r="C166" s="22"/>
      <c r="D166" s="22"/>
      <c r="E166" s="22"/>
      <c r="F166" s="22"/>
      <c r="G166" s="22"/>
      <c r="H166" s="22"/>
      <c r="I166" s="22"/>
      <c r="J166" s="22"/>
      <c r="K166" s="22"/>
      <c r="L166" s="73">
        <v>0</v>
      </c>
      <c r="M166" s="22"/>
      <c r="N166" s="22"/>
      <c r="O166" s="22"/>
      <c r="P166" s="40">
        <v>0</v>
      </c>
      <c r="Q166" s="22">
        <v>0</v>
      </c>
      <c r="R166" s="22">
        <f>50</f>
        <v>50</v>
      </c>
      <c r="S166" s="40">
        <f>SUM(P166:R166)</f>
        <v>50</v>
      </c>
      <c r="T166" s="40">
        <v>0</v>
      </c>
      <c r="U166" s="40">
        <v>0</v>
      </c>
      <c r="V166" s="40">
        <v>0</v>
      </c>
      <c r="W166" s="22">
        <f t="shared" si="62"/>
        <v>50</v>
      </c>
      <c r="X166" s="22">
        <v>0</v>
      </c>
      <c r="Y166" s="23">
        <v>0</v>
      </c>
      <c r="Z166" s="140">
        <f t="shared" si="64"/>
        <v>50</v>
      </c>
      <c r="AA166" s="140">
        <v>0</v>
      </c>
      <c r="AB166" s="140">
        <v>0</v>
      </c>
      <c r="AC166" s="140">
        <v>0</v>
      </c>
      <c r="AD166" s="127">
        <f t="shared" si="63"/>
        <v>50</v>
      </c>
    </row>
    <row r="167" spans="1:30" ht="23.25" customHeight="1" x14ac:dyDescent="0.25">
      <c r="A167" s="20" t="s">
        <v>203</v>
      </c>
      <c r="B167" s="68" t="s">
        <v>94</v>
      </c>
      <c r="C167" s="22">
        <v>1700</v>
      </c>
      <c r="D167" s="22">
        <v>0</v>
      </c>
      <c r="E167" s="22">
        <f t="shared" si="53"/>
        <v>1700</v>
      </c>
      <c r="F167" s="22">
        <v>0</v>
      </c>
      <c r="G167" s="22">
        <v>0</v>
      </c>
      <c r="H167" s="22">
        <f t="shared" si="59"/>
        <v>1700</v>
      </c>
      <c r="I167" s="22">
        <v>0</v>
      </c>
      <c r="J167" s="22">
        <v>0</v>
      </c>
      <c r="K167" s="22">
        <f t="shared" si="60"/>
        <v>1700</v>
      </c>
      <c r="L167" s="73">
        <v>1700</v>
      </c>
      <c r="M167" s="22">
        <f t="shared" si="61"/>
        <v>0</v>
      </c>
      <c r="N167" s="22">
        <f t="shared" si="56"/>
        <v>1</v>
      </c>
      <c r="O167" s="22">
        <v>0</v>
      </c>
      <c r="P167" s="40">
        <f t="shared" si="57"/>
        <v>1700</v>
      </c>
      <c r="Q167" s="22">
        <v>0</v>
      </c>
      <c r="R167" s="22">
        <v>0</v>
      </c>
      <c r="S167" s="40">
        <f t="shared" si="58"/>
        <v>1700</v>
      </c>
      <c r="T167" s="40">
        <v>0</v>
      </c>
      <c r="U167" s="40">
        <v>0</v>
      </c>
      <c r="V167" s="40">
        <v>0</v>
      </c>
      <c r="W167" s="22">
        <f t="shared" si="62"/>
        <v>1700</v>
      </c>
      <c r="X167" s="22">
        <v>0</v>
      </c>
      <c r="Y167" s="23">
        <v>0</v>
      </c>
      <c r="Z167" s="140">
        <f t="shared" si="64"/>
        <v>1700</v>
      </c>
      <c r="AA167" s="140">
        <v>0</v>
      </c>
      <c r="AB167" s="140">
        <v>0</v>
      </c>
      <c r="AC167" s="140">
        <v>0</v>
      </c>
      <c r="AD167" s="127">
        <f t="shared" si="63"/>
        <v>1700</v>
      </c>
    </row>
    <row r="168" spans="1:30" ht="26.25" customHeight="1" x14ac:dyDescent="0.25">
      <c r="A168" s="20" t="s">
        <v>204</v>
      </c>
      <c r="B168" s="68" t="s">
        <v>94</v>
      </c>
      <c r="C168" s="22">
        <v>85</v>
      </c>
      <c r="D168" s="22">
        <v>0</v>
      </c>
      <c r="E168" s="22">
        <f t="shared" si="53"/>
        <v>85</v>
      </c>
      <c r="F168" s="22">
        <v>0</v>
      </c>
      <c r="G168" s="22">
        <v>0</v>
      </c>
      <c r="H168" s="22">
        <f t="shared" si="59"/>
        <v>85</v>
      </c>
      <c r="I168" s="22">
        <v>0</v>
      </c>
      <c r="J168" s="22">
        <v>0</v>
      </c>
      <c r="K168" s="22">
        <f t="shared" si="60"/>
        <v>85</v>
      </c>
      <c r="L168" s="73">
        <v>85</v>
      </c>
      <c r="M168" s="22">
        <f t="shared" si="61"/>
        <v>0</v>
      </c>
      <c r="N168" s="22">
        <f>L168/K168</f>
        <v>1</v>
      </c>
      <c r="O168" s="22">
        <v>0</v>
      </c>
      <c r="P168" s="40">
        <f t="shared" si="57"/>
        <v>85</v>
      </c>
      <c r="Q168" s="22">
        <v>0</v>
      </c>
      <c r="R168" s="22">
        <v>0</v>
      </c>
      <c r="S168" s="40">
        <f t="shared" si="58"/>
        <v>85</v>
      </c>
      <c r="T168" s="40">
        <v>0</v>
      </c>
      <c r="U168" s="40">
        <v>0</v>
      </c>
      <c r="V168" s="40">
        <v>0</v>
      </c>
      <c r="W168" s="22">
        <f t="shared" si="62"/>
        <v>85</v>
      </c>
      <c r="X168" s="22">
        <v>0</v>
      </c>
      <c r="Y168" s="23">
        <v>0</v>
      </c>
      <c r="Z168" s="140">
        <f t="shared" si="64"/>
        <v>85</v>
      </c>
      <c r="AA168" s="140">
        <v>0</v>
      </c>
      <c r="AB168" s="140">
        <v>0</v>
      </c>
      <c r="AC168" s="140">
        <v>0</v>
      </c>
      <c r="AD168" s="127">
        <f t="shared" si="63"/>
        <v>85</v>
      </c>
    </row>
    <row r="169" spans="1:30" ht="25.5" customHeight="1" x14ac:dyDescent="0.25">
      <c r="A169" s="20" t="s">
        <v>205</v>
      </c>
      <c r="B169" s="68" t="s">
        <v>188</v>
      </c>
      <c r="C169" s="22">
        <v>0</v>
      </c>
      <c r="D169" s="22"/>
      <c r="E169" s="22"/>
      <c r="F169" s="22"/>
      <c r="G169" s="22"/>
      <c r="H169" s="22"/>
      <c r="I169" s="22"/>
      <c r="J169" s="22"/>
      <c r="K169" s="22">
        <v>0</v>
      </c>
      <c r="L169" s="73">
        <v>80</v>
      </c>
      <c r="M169" s="22">
        <f>L169-K169</f>
        <v>80</v>
      </c>
      <c r="N169" s="40" t="s">
        <v>46</v>
      </c>
      <c r="O169" s="40">
        <v>0</v>
      </c>
      <c r="P169" s="40">
        <f t="shared" si="57"/>
        <v>80</v>
      </c>
      <c r="Q169" s="40">
        <v>0</v>
      </c>
      <c r="R169" s="40">
        <v>0</v>
      </c>
      <c r="S169" s="40">
        <f t="shared" si="58"/>
        <v>80</v>
      </c>
      <c r="T169" s="40">
        <v>0</v>
      </c>
      <c r="U169" s="40">
        <v>0</v>
      </c>
      <c r="V169" s="40">
        <v>0</v>
      </c>
      <c r="W169" s="22">
        <f t="shared" si="62"/>
        <v>80</v>
      </c>
      <c r="X169" s="22">
        <v>0</v>
      </c>
      <c r="Y169" s="23">
        <v>0</v>
      </c>
      <c r="Z169" s="140">
        <f t="shared" si="64"/>
        <v>80</v>
      </c>
      <c r="AA169" s="140">
        <v>0</v>
      </c>
      <c r="AB169" s="140">
        <v>0</v>
      </c>
      <c r="AC169" s="140">
        <v>0</v>
      </c>
      <c r="AD169" s="127">
        <f t="shared" si="63"/>
        <v>80</v>
      </c>
    </row>
    <row r="170" spans="1:30" ht="23.25" customHeight="1" x14ac:dyDescent="0.25">
      <c r="A170" s="20" t="s">
        <v>206</v>
      </c>
      <c r="B170" s="68" t="s">
        <v>94</v>
      </c>
      <c r="C170" s="22">
        <v>1700</v>
      </c>
      <c r="D170" s="22">
        <v>0</v>
      </c>
      <c r="E170" s="22">
        <f t="shared" si="53"/>
        <v>1700</v>
      </c>
      <c r="F170" s="22">
        <v>0</v>
      </c>
      <c r="G170" s="22">
        <v>0</v>
      </c>
      <c r="H170" s="22">
        <f t="shared" si="59"/>
        <v>1700</v>
      </c>
      <c r="I170" s="22">
        <v>0</v>
      </c>
      <c r="J170" s="22">
        <v>0</v>
      </c>
      <c r="K170" s="22">
        <f t="shared" si="60"/>
        <v>1700</v>
      </c>
      <c r="L170" s="73">
        <v>1670</v>
      </c>
      <c r="M170" s="22">
        <f t="shared" si="61"/>
        <v>-30</v>
      </c>
      <c r="N170" s="22">
        <f t="shared" ref="N170:N185" si="65">L170/K170</f>
        <v>0.98235294117647054</v>
      </c>
      <c r="O170" s="22">
        <v>0</v>
      </c>
      <c r="P170" s="40">
        <f t="shared" si="57"/>
        <v>1670</v>
      </c>
      <c r="Q170" s="22">
        <v>0</v>
      </c>
      <c r="R170" s="22">
        <v>0</v>
      </c>
      <c r="S170" s="40">
        <f t="shared" si="58"/>
        <v>1670</v>
      </c>
      <c r="T170" s="40">
        <v>0</v>
      </c>
      <c r="U170" s="40">
        <v>0</v>
      </c>
      <c r="V170" s="40">
        <v>0</v>
      </c>
      <c r="W170" s="22">
        <f t="shared" si="62"/>
        <v>1670</v>
      </c>
      <c r="X170" s="22">
        <v>0</v>
      </c>
      <c r="Y170" s="23">
        <v>0</v>
      </c>
      <c r="Z170" s="140">
        <f t="shared" si="64"/>
        <v>1670</v>
      </c>
      <c r="AA170" s="140">
        <v>0</v>
      </c>
      <c r="AB170" s="140">
        <v>0</v>
      </c>
      <c r="AC170" s="140">
        <v>0</v>
      </c>
      <c r="AD170" s="127">
        <f t="shared" si="63"/>
        <v>1670</v>
      </c>
    </row>
    <row r="171" spans="1:30" ht="26.25" customHeight="1" x14ac:dyDescent="0.25">
      <c r="A171" s="20" t="s">
        <v>207</v>
      </c>
      <c r="B171" s="68" t="s">
        <v>94</v>
      </c>
      <c r="C171" s="22">
        <v>1700</v>
      </c>
      <c r="D171" s="22">
        <v>0</v>
      </c>
      <c r="E171" s="22">
        <f t="shared" si="53"/>
        <v>1700</v>
      </c>
      <c r="F171" s="22">
        <v>0</v>
      </c>
      <c r="G171" s="22">
        <v>0</v>
      </c>
      <c r="H171" s="22">
        <f t="shared" si="59"/>
        <v>1700</v>
      </c>
      <c r="I171" s="22">
        <v>0</v>
      </c>
      <c r="J171" s="22">
        <v>0</v>
      </c>
      <c r="K171" s="22">
        <f t="shared" si="60"/>
        <v>1700</v>
      </c>
      <c r="L171" s="73">
        <v>1670</v>
      </c>
      <c r="M171" s="22">
        <f t="shared" si="61"/>
        <v>-30</v>
      </c>
      <c r="N171" s="22">
        <f t="shared" si="65"/>
        <v>0.98235294117647054</v>
      </c>
      <c r="O171" s="22">
        <v>0</v>
      </c>
      <c r="P171" s="40">
        <f t="shared" si="57"/>
        <v>1670</v>
      </c>
      <c r="Q171" s="22">
        <v>0</v>
      </c>
      <c r="R171" s="22">
        <v>0</v>
      </c>
      <c r="S171" s="40">
        <f>SUM(P171:R171)</f>
        <v>1670</v>
      </c>
      <c r="T171" s="40">
        <v>0</v>
      </c>
      <c r="U171" s="40">
        <v>0</v>
      </c>
      <c r="V171" s="40">
        <v>0</v>
      </c>
      <c r="W171" s="22">
        <f t="shared" si="62"/>
        <v>1670</v>
      </c>
      <c r="X171" s="22">
        <v>0</v>
      </c>
      <c r="Y171" s="23">
        <v>0</v>
      </c>
      <c r="Z171" s="140">
        <f t="shared" si="64"/>
        <v>1670</v>
      </c>
      <c r="AA171" s="140">
        <v>0</v>
      </c>
      <c r="AB171" s="140">
        <v>0</v>
      </c>
      <c r="AC171" s="140">
        <v>0</v>
      </c>
      <c r="AD171" s="127">
        <f t="shared" si="63"/>
        <v>1670</v>
      </c>
    </row>
    <row r="172" spans="1:30" ht="47.25" customHeight="1" x14ac:dyDescent="0.25">
      <c r="A172" s="20" t="s">
        <v>208</v>
      </c>
      <c r="B172" s="68" t="s">
        <v>73</v>
      </c>
      <c r="C172" s="22"/>
      <c r="D172" s="22"/>
      <c r="E172" s="22"/>
      <c r="F172" s="22"/>
      <c r="G172" s="22"/>
      <c r="H172" s="22"/>
      <c r="I172" s="22"/>
      <c r="J172" s="22"/>
      <c r="K172" s="22"/>
      <c r="L172" s="73">
        <v>0</v>
      </c>
      <c r="M172" s="22"/>
      <c r="N172" s="22"/>
      <c r="O172" s="22"/>
      <c r="P172" s="40"/>
      <c r="Q172" s="22"/>
      <c r="R172" s="22"/>
      <c r="S172" s="40"/>
      <c r="T172" s="40"/>
      <c r="U172" s="40"/>
      <c r="V172" s="40"/>
      <c r="W172" s="22">
        <v>0</v>
      </c>
      <c r="X172" s="22">
        <f>100</f>
        <v>100</v>
      </c>
      <c r="Y172" s="23">
        <v>0</v>
      </c>
      <c r="Z172" s="140">
        <f t="shared" si="64"/>
        <v>100</v>
      </c>
      <c r="AA172" s="140">
        <v>0</v>
      </c>
      <c r="AB172" s="140">
        <v>0</v>
      </c>
      <c r="AC172" s="140">
        <v>0</v>
      </c>
      <c r="AD172" s="127">
        <f t="shared" si="63"/>
        <v>100</v>
      </c>
    </row>
    <row r="173" spans="1:30" ht="27" customHeight="1" x14ac:dyDescent="0.25">
      <c r="A173" s="20" t="s">
        <v>209</v>
      </c>
      <c r="B173" s="68" t="s">
        <v>94</v>
      </c>
      <c r="C173" s="22">
        <v>500</v>
      </c>
      <c r="D173" s="22">
        <v>0</v>
      </c>
      <c r="E173" s="22">
        <f t="shared" si="53"/>
        <v>500</v>
      </c>
      <c r="F173" s="22">
        <v>0</v>
      </c>
      <c r="G173" s="22">
        <v>0</v>
      </c>
      <c r="H173" s="22">
        <f t="shared" si="59"/>
        <v>500</v>
      </c>
      <c r="I173" s="22">
        <v>0</v>
      </c>
      <c r="J173" s="22">
        <v>0</v>
      </c>
      <c r="K173" s="22">
        <f t="shared" si="60"/>
        <v>500</v>
      </c>
      <c r="L173" s="73">
        <v>500</v>
      </c>
      <c r="M173" s="22">
        <f t="shared" si="61"/>
        <v>0</v>
      </c>
      <c r="N173" s="22">
        <f t="shared" si="65"/>
        <v>1</v>
      </c>
      <c r="O173" s="22">
        <v>0</v>
      </c>
      <c r="P173" s="40">
        <f t="shared" si="57"/>
        <v>500</v>
      </c>
      <c r="Q173" s="22">
        <v>0</v>
      </c>
      <c r="R173" s="22">
        <v>0</v>
      </c>
      <c r="S173" s="40">
        <f t="shared" si="58"/>
        <v>500</v>
      </c>
      <c r="T173" s="40">
        <v>0</v>
      </c>
      <c r="U173" s="40">
        <v>0</v>
      </c>
      <c r="V173" s="40">
        <v>0</v>
      </c>
      <c r="W173" s="22">
        <f t="shared" si="62"/>
        <v>500</v>
      </c>
      <c r="X173" s="22">
        <v>0</v>
      </c>
      <c r="Y173" s="23">
        <v>0</v>
      </c>
      <c r="Z173" s="140">
        <f t="shared" si="64"/>
        <v>500</v>
      </c>
      <c r="AA173" s="140">
        <v>0</v>
      </c>
      <c r="AB173" s="140">
        <v>0</v>
      </c>
      <c r="AC173" s="140">
        <v>0</v>
      </c>
      <c r="AD173" s="127">
        <f t="shared" si="63"/>
        <v>500</v>
      </c>
    </row>
    <row r="174" spans="1:30" ht="15" customHeight="1" x14ac:dyDescent="0.25">
      <c r="A174" s="69" t="s">
        <v>210</v>
      </c>
      <c r="B174" s="68" t="s">
        <v>188</v>
      </c>
      <c r="C174" s="22">
        <v>250</v>
      </c>
      <c r="D174" s="22">
        <v>0</v>
      </c>
      <c r="E174" s="22">
        <f t="shared" si="53"/>
        <v>250</v>
      </c>
      <c r="F174" s="22">
        <v>0</v>
      </c>
      <c r="G174" s="22">
        <v>0</v>
      </c>
      <c r="H174" s="22">
        <f t="shared" si="59"/>
        <v>250</v>
      </c>
      <c r="I174" s="22">
        <v>0</v>
      </c>
      <c r="J174" s="22">
        <v>0</v>
      </c>
      <c r="K174" s="22">
        <f>SUM(H174:J174)</f>
        <v>250</v>
      </c>
      <c r="L174" s="73">
        <v>250</v>
      </c>
      <c r="M174" s="22">
        <f t="shared" si="61"/>
        <v>0</v>
      </c>
      <c r="N174" s="22">
        <f t="shared" si="65"/>
        <v>1</v>
      </c>
      <c r="O174" s="22">
        <v>0</v>
      </c>
      <c r="P174" s="40">
        <f t="shared" si="57"/>
        <v>250</v>
      </c>
      <c r="Q174" s="22">
        <v>0</v>
      </c>
      <c r="R174" s="22">
        <v>0</v>
      </c>
      <c r="S174" s="40">
        <f t="shared" si="58"/>
        <v>250</v>
      </c>
      <c r="T174" s="40">
        <v>0</v>
      </c>
      <c r="U174" s="40">
        <v>0</v>
      </c>
      <c r="V174" s="40">
        <v>0</v>
      </c>
      <c r="W174" s="22">
        <f t="shared" si="62"/>
        <v>250</v>
      </c>
      <c r="X174" s="22">
        <v>0</v>
      </c>
      <c r="Y174" s="23">
        <v>0</v>
      </c>
      <c r="Z174" s="140">
        <f t="shared" si="64"/>
        <v>250</v>
      </c>
      <c r="AA174" s="140">
        <v>0</v>
      </c>
      <c r="AB174" s="140">
        <v>0</v>
      </c>
      <c r="AC174" s="140">
        <v>0</v>
      </c>
      <c r="AD174" s="127">
        <f t="shared" si="63"/>
        <v>250</v>
      </c>
    </row>
    <row r="175" spans="1:30" ht="15" customHeight="1" x14ac:dyDescent="0.25">
      <c r="A175" s="69" t="s">
        <v>211</v>
      </c>
      <c r="B175" s="68" t="s">
        <v>73</v>
      </c>
      <c r="C175" s="22"/>
      <c r="D175" s="22"/>
      <c r="E175" s="22"/>
      <c r="F175" s="22"/>
      <c r="G175" s="22"/>
      <c r="H175" s="22"/>
      <c r="I175" s="22"/>
      <c r="J175" s="22"/>
      <c r="K175" s="22"/>
      <c r="L175" s="73">
        <v>0</v>
      </c>
      <c r="M175" s="22"/>
      <c r="N175" s="22"/>
      <c r="O175" s="22"/>
      <c r="P175" s="40"/>
      <c r="Q175" s="22"/>
      <c r="R175" s="22"/>
      <c r="S175" s="40"/>
      <c r="T175" s="40"/>
      <c r="U175" s="40"/>
      <c r="V175" s="40"/>
      <c r="W175" s="22">
        <f>30</f>
        <v>30</v>
      </c>
      <c r="X175" s="22">
        <v>0</v>
      </c>
      <c r="Y175" s="23">
        <v>0</v>
      </c>
      <c r="Z175" s="140">
        <f t="shared" si="64"/>
        <v>30</v>
      </c>
      <c r="AA175" s="140">
        <v>0</v>
      </c>
      <c r="AB175" s="140">
        <v>0</v>
      </c>
      <c r="AC175" s="140">
        <v>0</v>
      </c>
      <c r="AD175" s="127">
        <f t="shared" si="63"/>
        <v>30</v>
      </c>
    </row>
    <row r="176" spans="1:30" ht="13.5" customHeight="1" x14ac:dyDescent="0.25">
      <c r="A176" s="69" t="s">
        <v>212</v>
      </c>
      <c r="B176" s="68" t="s">
        <v>94</v>
      </c>
      <c r="C176" s="22">
        <v>500</v>
      </c>
      <c r="D176" s="22">
        <v>0</v>
      </c>
      <c r="E176" s="22">
        <f t="shared" si="53"/>
        <v>500</v>
      </c>
      <c r="F176" s="22">
        <v>0</v>
      </c>
      <c r="G176" s="22">
        <v>0</v>
      </c>
      <c r="H176" s="22">
        <f t="shared" si="59"/>
        <v>500</v>
      </c>
      <c r="I176" s="22">
        <v>0</v>
      </c>
      <c r="J176" s="22">
        <v>0</v>
      </c>
      <c r="K176" s="22">
        <f t="shared" si="60"/>
        <v>500</v>
      </c>
      <c r="L176" s="73">
        <v>500</v>
      </c>
      <c r="M176" s="22">
        <f t="shared" si="61"/>
        <v>0</v>
      </c>
      <c r="N176" s="22">
        <f t="shared" si="65"/>
        <v>1</v>
      </c>
      <c r="O176" s="22">
        <v>0</v>
      </c>
      <c r="P176" s="40">
        <f t="shared" si="57"/>
        <v>500</v>
      </c>
      <c r="Q176" s="22">
        <v>0</v>
      </c>
      <c r="R176" s="22">
        <v>0</v>
      </c>
      <c r="S176" s="40">
        <f t="shared" si="58"/>
        <v>500</v>
      </c>
      <c r="T176" s="40">
        <v>0</v>
      </c>
      <c r="U176" s="40">
        <v>0</v>
      </c>
      <c r="V176" s="40">
        <v>0</v>
      </c>
      <c r="W176" s="22">
        <f t="shared" si="62"/>
        <v>500</v>
      </c>
      <c r="X176" s="22">
        <v>0</v>
      </c>
      <c r="Y176" s="23">
        <v>0</v>
      </c>
      <c r="Z176" s="140">
        <f t="shared" si="64"/>
        <v>500</v>
      </c>
      <c r="AA176" s="140">
        <v>0</v>
      </c>
      <c r="AB176" s="140">
        <v>0</v>
      </c>
      <c r="AC176" s="140">
        <v>0</v>
      </c>
      <c r="AD176" s="127">
        <f t="shared" si="63"/>
        <v>500</v>
      </c>
    </row>
    <row r="177" spans="1:30" ht="15.75" customHeight="1" x14ac:dyDescent="0.25">
      <c r="A177" s="69" t="s">
        <v>213</v>
      </c>
      <c r="B177" s="68" t="s">
        <v>188</v>
      </c>
      <c r="C177" s="22">
        <v>50</v>
      </c>
      <c r="D177" s="22">
        <v>0</v>
      </c>
      <c r="E177" s="22">
        <f t="shared" si="53"/>
        <v>50</v>
      </c>
      <c r="F177" s="22">
        <v>0</v>
      </c>
      <c r="G177" s="22">
        <v>0</v>
      </c>
      <c r="H177" s="22">
        <f t="shared" si="59"/>
        <v>50</v>
      </c>
      <c r="I177" s="22">
        <v>0</v>
      </c>
      <c r="J177" s="22">
        <v>0</v>
      </c>
      <c r="K177" s="22">
        <f t="shared" si="60"/>
        <v>50</v>
      </c>
      <c r="L177" s="73">
        <v>50</v>
      </c>
      <c r="M177" s="22">
        <f t="shared" si="61"/>
        <v>0</v>
      </c>
      <c r="N177" s="22">
        <f t="shared" si="65"/>
        <v>1</v>
      </c>
      <c r="O177" s="22">
        <v>0</v>
      </c>
      <c r="P177" s="40">
        <f t="shared" si="57"/>
        <v>50</v>
      </c>
      <c r="Q177" s="22">
        <v>0</v>
      </c>
      <c r="R177" s="22">
        <v>0</v>
      </c>
      <c r="S177" s="40">
        <f t="shared" si="58"/>
        <v>50</v>
      </c>
      <c r="T177" s="40">
        <v>0</v>
      </c>
      <c r="U177" s="40">
        <v>0</v>
      </c>
      <c r="V177" s="40">
        <v>0</v>
      </c>
      <c r="W177" s="22">
        <f t="shared" si="62"/>
        <v>50</v>
      </c>
      <c r="X177" s="22">
        <v>0</v>
      </c>
      <c r="Y177" s="23">
        <v>0</v>
      </c>
      <c r="Z177" s="140">
        <f t="shared" si="64"/>
        <v>50</v>
      </c>
      <c r="AA177" s="140">
        <v>0</v>
      </c>
      <c r="AB177" s="140">
        <v>0</v>
      </c>
      <c r="AC177" s="140">
        <v>0</v>
      </c>
      <c r="AD177" s="127">
        <f t="shared" si="63"/>
        <v>50</v>
      </c>
    </row>
    <row r="178" spans="1:30" x14ac:dyDescent="0.25">
      <c r="A178" s="69" t="s">
        <v>214</v>
      </c>
      <c r="B178" s="68" t="s">
        <v>94</v>
      </c>
      <c r="C178" s="22">
        <v>1200</v>
      </c>
      <c r="D178" s="22">
        <v>0</v>
      </c>
      <c r="E178" s="22">
        <f t="shared" si="53"/>
        <v>1200</v>
      </c>
      <c r="F178" s="22">
        <v>0</v>
      </c>
      <c r="G178" s="22">
        <v>0</v>
      </c>
      <c r="H178" s="22">
        <f t="shared" si="59"/>
        <v>1200</v>
      </c>
      <c r="I178" s="22">
        <v>0</v>
      </c>
      <c r="J178" s="22">
        <v>0</v>
      </c>
      <c r="K178" s="22">
        <f t="shared" si="60"/>
        <v>1200</v>
      </c>
      <c r="L178" s="73">
        <v>1200</v>
      </c>
      <c r="M178" s="22">
        <f t="shared" si="61"/>
        <v>0</v>
      </c>
      <c r="N178" s="22">
        <f t="shared" si="65"/>
        <v>1</v>
      </c>
      <c r="O178" s="22">
        <v>0</v>
      </c>
      <c r="P178" s="40">
        <f t="shared" si="57"/>
        <v>1200</v>
      </c>
      <c r="Q178" s="22">
        <v>0</v>
      </c>
      <c r="R178" s="22">
        <v>0</v>
      </c>
      <c r="S178" s="40">
        <f t="shared" si="58"/>
        <v>1200</v>
      </c>
      <c r="T178" s="40">
        <v>0</v>
      </c>
      <c r="U178" s="40">
        <v>0</v>
      </c>
      <c r="V178" s="40">
        <v>0</v>
      </c>
      <c r="W178" s="22">
        <f t="shared" si="62"/>
        <v>1200</v>
      </c>
      <c r="X178" s="22">
        <v>0</v>
      </c>
      <c r="Y178" s="23">
        <v>0</v>
      </c>
      <c r="Z178" s="140">
        <f t="shared" si="64"/>
        <v>1200</v>
      </c>
      <c r="AA178" s="140">
        <v>0</v>
      </c>
      <c r="AB178" s="140">
        <v>0</v>
      </c>
      <c r="AC178" s="140">
        <v>0</v>
      </c>
      <c r="AD178" s="127">
        <f t="shared" si="63"/>
        <v>1200</v>
      </c>
    </row>
    <row r="179" spans="1:30" ht="14.25" customHeight="1" x14ac:dyDescent="0.25">
      <c r="A179" s="20" t="s">
        <v>215</v>
      </c>
      <c r="B179" s="68" t="s">
        <v>94</v>
      </c>
      <c r="C179" s="22">
        <v>650</v>
      </c>
      <c r="D179" s="22">
        <v>0</v>
      </c>
      <c r="E179" s="22">
        <f t="shared" si="53"/>
        <v>650</v>
      </c>
      <c r="F179" s="22">
        <v>0</v>
      </c>
      <c r="G179" s="22">
        <v>0</v>
      </c>
      <c r="H179" s="22">
        <f t="shared" si="59"/>
        <v>650</v>
      </c>
      <c r="I179" s="22">
        <v>0</v>
      </c>
      <c r="J179" s="22">
        <v>0</v>
      </c>
      <c r="K179" s="22">
        <f t="shared" si="60"/>
        <v>650</v>
      </c>
      <c r="L179" s="73">
        <v>650</v>
      </c>
      <c r="M179" s="22">
        <f t="shared" si="61"/>
        <v>0</v>
      </c>
      <c r="N179" s="22">
        <f t="shared" si="65"/>
        <v>1</v>
      </c>
      <c r="O179" s="22">
        <v>0</v>
      </c>
      <c r="P179" s="40">
        <f t="shared" si="57"/>
        <v>650</v>
      </c>
      <c r="Q179" s="22">
        <v>0</v>
      </c>
      <c r="R179" s="22">
        <v>0</v>
      </c>
      <c r="S179" s="40">
        <f t="shared" si="58"/>
        <v>650</v>
      </c>
      <c r="T179" s="40">
        <v>0</v>
      </c>
      <c r="U179" s="40">
        <v>0</v>
      </c>
      <c r="V179" s="40">
        <v>0</v>
      </c>
      <c r="W179" s="22">
        <f t="shared" si="62"/>
        <v>650</v>
      </c>
      <c r="X179" s="22">
        <v>0</v>
      </c>
      <c r="Y179" s="23">
        <v>0</v>
      </c>
      <c r="Z179" s="140">
        <f t="shared" si="64"/>
        <v>650</v>
      </c>
      <c r="AA179" s="140">
        <v>0</v>
      </c>
      <c r="AB179" s="140">
        <v>0</v>
      </c>
      <c r="AC179" s="140">
        <v>0</v>
      </c>
      <c r="AD179" s="127">
        <f t="shared" si="63"/>
        <v>650</v>
      </c>
    </row>
    <row r="180" spans="1:30" ht="33.75" customHeight="1" x14ac:dyDescent="0.25">
      <c r="A180" s="90" t="s">
        <v>216</v>
      </c>
      <c r="B180" s="68" t="s">
        <v>94</v>
      </c>
      <c r="C180" s="22">
        <v>700</v>
      </c>
      <c r="D180" s="22">
        <v>0</v>
      </c>
      <c r="E180" s="22">
        <f>SUM(C180:D180)</f>
        <v>700</v>
      </c>
      <c r="F180" s="22">
        <v>0</v>
      </c>
      <c r="G180" s="22">
        <v>0</v>
      </c>
      <c r="H180" s="22">
        <f t="shared" si="59"/>
        <v>700</v>
      </c>
      <c r="I180" s="22">
        <v>0</v>
      </c>
      <c r="J180" s="22">
        <v>0</v>
      </c>
      <c r="K180" s="22">
        <f t="shared" si="60"/>
        <v>700</v>
      </c>
      <c r="L180" s="73">
        <v>1670</v>
      </c>
      <c r="M180" s="22">
        <f t="shared" si="61"/>
        <v>970</v>
      </c>
      <c r="N180" s="22">
        <f t="shared" si="65"/>
        <v>2.3857142857142857</v>
      </c>
      <c r="O180" s="22">
        <v>0</v>
      </c>
      <c r="P180" s="40">
        <f t="shared" si="57"/>
        <v>1670</v>
      </c>
      <c r="Q180" s="22">
        <v>0</v>
      </c>
      <c r="R180" s="22">
        <v>0</v>
      </c>
      <c r="S180" s="40">
        <f t="shared" si="58"/>
        <v>1670</v>
      </c>
      <c r="T180" s="40">
        <v>0</v>
      </c>
      <c r="U180" s="40">
        <v>0</v>
      </c>
      <c r="V180" s="40">
        <v>0</v>
      </c>
      <c r="W180" s="22">
        <f t="shared" si="62"/>
        <v>1670</v>
      </c>
      <c r="X180" s="22">
        <v>0</v>
      </c>
      <c r="Y180" s="23">
        <v>0</v>
      </c>
      <c r="Z180" s="140">
        <f t="shared" si="64"/>
        <v>1670</v>
      </c>
      <c r="AA180" s="140">
        <v>0</v>
      </c>
      <c r="AB180" s="140">
        <v>0</v>
      </c>
      <c r="AC180" s="140">
        <v>0</v>
      </c>
      <c r="AD180" s="127">
        <f t="shared" si="63"/>
        <v>1670</v>
      </c>
    </row>
    <row r="181" spans="1:30" ht="24" customHeight="1" x14ac:dyDescent="0.25">
      <c r="A181" s="90" t="s">
        <v>217</v>
      </c>
      <c r="B181" s="68" t="s">
        <v>94</v>
      </c>
      <c r="C181" s="22"/>
      <c r="D181" s="22"/>
      <c r="E181" s="22"/>
      <c r="F181" s="22"/>
      <c r="G181" s="22"/>
      <c r="H181" s="22"/>
      <c r="I181" s="22"/>
      <c r="J181" s="22"/>
      <c r="K181" s="22"/>
      <c r="L181" s="73">
        <v>0</v>
      </c>
      <c r="M181" s="22"/>
      <c r="N181" s="22"/>
      <c r="O181" s="22"/>
      <c r="P181" s="40">
        <v>0</v>
      </c>
      <c r="Q181" s="22">
        <v>1670</v>
      </c>
      <c r="R181" s="22">
        <v>0</v>
      </c>
      <c r="S181" s="40">
        <f t="shared" si="58"/>
        <v>1670</v>
      </c>
      <c r="T181" s="40">
        <v>0</v>
      </c>
      <c r="U181" s="40">
        <v>0</v>
      </c>
      <c r="V181" s="40">
        <v>0</v>
      </c>
      <c r="W181" s="22">
        <f t="shared" si="62"/>
        <v>1670</v>
      </c>
      <c r="X181" s="22">
        <v>0</v>
      </c>
      <c r="Y181" s="23">
        <v>0</v>
      </c>
      <c r="Z181" s="140">
        <f t="shared" si="64"/>
        <v>1670</v>
      </c>
      <c r="AA181" s="140">
        <v>0</v>
      </c>
      <c r="AB181" s="140">
        <v>0</v>
      </c>
      <c r="AC181" s="140">
        <v>0</v>
      </c>
      <c r="AD181" s="127">
        <f t="shared" si="63"/>
        <v>1670</v>
      </c>
    </row>
    <row r="182" spans="1:30" ht="24" customHeight="1" x14ac:dyDescent="0.25">
      <c r="A182" s="90" t="s">
        <v>218</v>
      </c>
      <c r="B182" s="68" t="s">
        <v>219</v>
      </c>
      <c r="C182" s="22"/>
      <c r="D182" s="22"/>
      <c r="E182" s="22"/>
      <c r="F182" s="22"/>
      <c r="G182" s="22"/>
      <c r="H182" s="22"/>
      <c r="I182" s="22"/>
      <c r="J182" s="22"/>
      <c r="K182" s="22"/>
      <c r="L182" s="73">
        <v>0</v>
      </c>
      <c r="M182" s="22"/>
      <c r="N182" s="22"/>
      <c r="O182" s="22"/>
      <c r="P182" s="40"/>
      <c r="Q182" s="22"/>
      <c r="R182" s="22"/>
      <c r="S182" s="40">
        <v>0</v>
      </c>
      <c r="T182" s="40">
        <v>0</v>
      </c>
      <c r="U182" s="40">
        <v>0</v>
      </c>
      <c r="V182" s="40">
        <f>20</f>
        <v>20</v>
      </c>
      <c r="W182" s="22">
        <f>SUM(S182:V182)</f>
        <v>20</v>
      </c>
      <c r="X182" s="22">
        <v>0</v>
      </c>
      <c r="Y182" s="23">
        <v>0</v>
      </c>
      <c r="Z182" s="140">
        <f t="shared" si="64"/>
        <v>20</v>
      </c>
      <c r="AA182" s="140">
        <v>0</v>
      </c>
      <c r="AB182" s="140">
        <v>0</v>
      </c>
      <c r="AC182" s="140">
        <v>0</v>
      </c>
      <c r="AD182" s="127">
        <f t="shared" si="63"/>
        <v>20</v>
      </c>
    </row>
    <row r="183" spans="1:30" ht="24" customHeight="1" x14ac:dyDescent="0.25">
      <c r="A183" s="90" t="s">
        <v>424</v>
      </c>
      <c r="B183" s="68" t="s">
        <v>199</v>
      </c>
      <c r="C183" s="22"/>
      <c r="D183" s="22"/>
      <c r="E183" s="22"/>
      <c r="F183" s="22"/>
      <c r="G183" s="22"/>
      <c r="H183" s="22"/>
      <c r="I183" s="22"/>
      <c r="J183" s="22"/>
      <c r="K183" s="22"/>
      <c r="L183" s="73">
        <v>0</v>
      </c>
      <c r="M183" s="22"/>
      <c r="N183" s="22"/>
      <c r="O183" s="22"/>
      <c r="P183" s="40"/>
      <c r="Q183" s="22"/>
      <c r="R183" s="22"/>
      <c r="S183" s="40"/>
      <c r="T183" s="40"/>
      <c r="U183" s="40"/>
      <c r="V183" s="40"/>
      <c r="W183" s="22"/>
      <c r="X183" s="22"/>
      <c r="Y183" s="23"/>
      <c r="Z183" s="140">
        <v>0</v>
      </c>
      <c r="AA183" s="140">
        <f>30</f>
        <v>30</v>
      </c>
      <c r="AB183" s="140">
        <v>0</v>
      </c>
      <c r="AC183" s="140">
        <v>0</v>
      </c>
      <c r="AD183" s="127">
        <f t="shared" si="63"/>
        <v>30</v>
      </c>
    </row>
    <row r="184" spans="1:30" ht="25.5" customHeight="1" x14ac:dyDescent="0.25">
      <c r="A184" s="90" t="s">
        <v>220</v>
      </c>
      <c r="B184" s="68" t="s">
        <v>94</v>
      </c>
      <c r="C184" s="22"/>
      <c r="D184" s="22"/>
      <c r="E184" s="22"/>
      <c r="F184" s="22"/>
      <c r="G184" s="22"/>
      <c r="H184" s="22"/>
      <c r="I184" s="22"/>
      <c r="J184" s="22"/>
      <c r="K184" s="22"/>
      <c r="L184" s="73">
        <v>0</v>
      </c>
      <c r="M184" s="22"/>
      <c r="N184" s="22"/>
      <c r="O184" s="22"/>
      <c r="P184" s="40"/>
      <c r="Q184" s="22"/>
      <c r="R184" s="22"/>
      <c r="S184" s="40"/>
      <c r="T184" s="40"/>
      <c r="U184" s="40"/>
      <c r="V184" s="40"/>
      <c r="W184" s="22">
        <v>0</v>
      </c>
      <c r="X184" s="22">
        <v>0</v>
      </c>
      <c r="Y184" s="23">
        <f>117</f>
        <v>117</v>
      </c>
      <c r="Z184" s="144">
        <f>SUM(W184:Y184)</f>
        <v>117</v>
      </c>
      <c r="AA184" s="144">
        <v>0</v>
      </c>
      <c r="AB184" s="144">
        <v>0</v>
      </c>
      <c r="AC184" s="140">
        <v>0</v>
      </c>
      <c r="AD184" s="127">
        <f t="shared" si="63"/>
        <v>117</v>
      </c>
    </row>
    <row r="185" spans="1:30" ht="16.5" customHeight="1" thickBot="1" x14ac:dyDescent="0.3">
      <c r="A185" s="91" t="s">
        <v>221</v>
      </c>
      <c r="B185" s="92"/>
      <c r="C185" s="34">
        <v>16577.599999999999</v>
      </c>
      <c r="D185" s="34">
        <f>-1100-510</f>
        <v>-1610</v>
      </c>
      <c r="E185" s="34">
        <f>SUM(C185:D185)+94.17</f>
        <v>15061.769999999999</v>
      </c>
      <c r="F185" s="34">
        <v>-3853</v>
      </c>
      <c r="G185" s="34">
        <f>-494.17</f>
        <v>-494.17</v>
      </c>
      <c r="H185" s="34">
        <f t="shared" si="59"/>
        <v>10714.599999999999</v>
      </c>
      <c r="I185" s="34">
        <v>-749.19</v>
      </c>
      <c r="J185" s="34">
        <f>30-60</f>
        <v>-30</v>
      </c>
      <c r="K185" s="34">
        <f t="shared" ref="K185:K241" si="66">SUM(H185:J185)</f>
        <v>9935.409999999998</v>
      </c>
      <c r="L185" s="34">
        <v>63172.72</v>
      </c>
      <c r="M185" s="34">
        <f t="shared" si="61"/>
        <v>53237.310000000005</v>
      </c>
      <c r="N185" s="34">
        <f t="shared" si="65"/>
        <v>6.3583405214279045</v>
      </c>
      <c r="O185" s="34">
        <f>94.59+13.16</f>
        <v>107.75</v>
      </c>
      <c r="P185" s="93">
        <f t="shared" si="57"/>
        <v>63280.47</v>
      </c>
      <c r="Q185" s="34">
        <v>-1706</v>
      </c>
      <c r="R185" s="34">
        <f>-750+440-50</f>
        <v>-360</v>
      </c>
      <c r="S185" s="93">
        <f>SUM(P185:R185)</f>
        <v>61214.47</v>
      </c>
      <c r="T185" s="93">
        <v>-6020.14</v>
      </c>
      <c r="U185" s="93">
        <v>0</v>
      </c>
      <c r="V185" s="93">
        <f>-20+37.86</f>
        <v>17.86</v>
      </c>
      <c r="W185" s="34">
        <f>SUM(S185:V185)-35.22</f>
        <v>55176.97</v>
      </c>
      <c r="X185" s="34">
        <f>-6068.67</f>
        <v>-6068.67</v>
      </c>
      <c r="Y185" s="35">
        <v>0</v>
      </c>
      <c r="Z185" s="141">
        <f>SUM(W185:Y185)</f>
        <v>49108.3</v>
      </c>
      <c r="AA185" s="141">
        <f>-30-37</f>
        <v>-67</v>
      </c>
      <c r="AB185" s="141">
        <f>-42263.34-100</f>
        <v>-42363.34</v>
      </c>
      <c r="AC185" s="141">
        <v>0</v>
      </c>
      <c r="AD185" s="128">
        <f t="shared" si="63"/>
        <v>6677.9600000000064</v>
      </c>
    </row>
    <row r="186" spans="1:30" ht="15.75" customHeight="1" thickBot="1" x14ac:dyDescent="0.3">
      <c r="A186" s="71" t="s">
        <v>222</v>
      </c>
      <c r="B186" s="65"/>
      <c r="C186" s="54">
        <f>SUM(C188:C198)</f>
        <v>269879</v>
      </c>
      <c r="D186" s="54">
        <f>SUM(D188:D198)</f>
        <v>0</v>
      </c>
      <c r="E186" s="54">
        <f>SUM(C186:D186)</f>
        <v>269879</v>
      </c>
      <c r="F186" s="54">
        <f>SUM(F188:F198)</f>
        <v>17057</v>
      </c>
      <c r="G186" s="54">
        <f>SUM(G188:G198)</f>
        <v>50.72</v>
      </c>
      <c r="H186" s="54">
        <f>SUM(H188:H198)</f>
        <v>286986.71999999997</v>
      </c>
      <c r="I186" s="54">
        <f>SUM(I188:I198)</f>
        <v>10461</v>
      </c>
      <c r="J186" s="54">
        <f>SUM(J188:J198)</f>
        <v>2242</v>
      </c>
      <c r="K186" s="54">
        <f t="shared" si="66"/>
        <v>299689.71999999997</v>
      </c>
      <c r="L186" s="54">
        <f>SUM(L188:L198)</f>
        <v>332834</v>
      </c>
      <c r="M186" s="54">
        <f>SUM(M188:M198)</f>
        <v>33144.28</v>
      </c>
      <c r="N186" s="54">
        <f>L186/K186</f>
        <v>1.110595318384628</v>
      </c>
      <c r="O186" s="54">
        <f t="shared" ref="O186:T186" si="67">SUM(O188:O198)</f>
        <v>232.94</v>
      </c>
      <c r="P186" s="54">
        <f t="shared" si="67"/>
        <v>333066.94</v>
      </c>
      <c r="Q186" s="54">
        <f t="shared" si="67"/>
        <v>19508</v>
      </c>
      <c r="R186" s="54">
        <f t="shared" si="67"/>
        <v>181.35</v>
      </c>
      <c r="S186" s="54">
        <f t="shared" si="67"/>
        <v>352756.29000000004</v>
      </c>
      <c r="T186" s="54">
        <f t="shared" si="67"/>
        <v>0</v>
      </c>
      <c r="U186" s="54">
        <f>SUM(U188:U198)</f>
        <v>0</v>
      </c>
      <c r="V186" s="54">
        <f>SUM(V188:V198)</f>
        <v>444</v>
      </c>
      <c r="W186" s="54">
        <f>SUM(W188:W198)</f>
        <v>352417.29000000004</v>
      </c>
      <c r="X186" s="54">
        <f>SUM(X188:X198)</f>
        <v>2000</v>
      </c>
      <c r="Y186" s="55">
        <f>SUM(Y188:Y198)</f>
        <v>-861.32999999999993</v>
      </c>
      <c r="Z186" s="54">
        <f t="shared" si="64"/>
        <v>353555.96</v>
      </c>
      <c r="AA186" s="54">
        <f>SUM(AA188:AA198)</f>
        <v>-1291.2</v>
      </c>
      <c r="AB186" s="54">
        <f>SUM(AB188:AB198)</f>
        <v>-2200</v>
      </c>
      <c r="AC186" s="54">
        <f>SUM(AC188:AC198)</f>
        <v>0</v>
      </c>
      <c r="AD186" s="133">
        <f t="shared" si="63"/>
        <v>350064.76</v>
      </c>
    </row>
    <row r="187" spans="1:30" ht="12.75" customHeight="1" x14ac:dyDescent="0.25">
      <c r="A187" s="72" t="s">
        <v>54</v>
      </c>
      <c r="B187" s="64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9"/>
      <c r="Z187" s="140"/>
      <c r="AA187" s="140"/>
      <c r="AB187" s="140"/>
      <c r="AC187" s="140"/>
      <c r="AD187" s="127"/>
    </row>
    <row r="188" spans="1:30" ht="15" customHeight="1" x14ac:dyDescent="0.25">
      <c r="A188" s="69" t="s">
        <v>87</v>
      </c>
      <c r="B188" s="58"/>
      <c r="C188" s="22">
        <v>69797</v>
      </c>
      <c r="D188" s="22">
        <v>0</v>
      </c>
      <c r="E188" s="22">
        <f>SUM(C188:D188)</f>
        <v>69797</v>
      </c>
      <c r="F188" s="22">
        <v>8500</v>
      </c>
      <c r="G188" s="22">
        <f>0</f>
        <v>0</v>
      </c>
      <c r="H188" s="22">
        <f>SUM(E188:G188)</f>
        <v>78297</v>
      </c>
      <c r="I188" s="22">
        <v>0</v>
      </c>
      <c r="J188" s="22">
        <f>1325+917</f>
        <v>2242</v>
      </c>
      <c r="K188" s="22">
        <f t="shared" si="66"/>
        <v>80539</v>
      </c>
      <c r="L188" s="22">
        <v>80859</v>
      </c>
      <c r="M188" s="22">
        <f>L188-K188</f>
        <v>320</v>
      </c>
      <c r="N188" s="22">
        <f>L188/K188</f>
        <v>1.0039732303604465</v>
      </c>
      <c r="O188" s="22">
        <f>0</f>
        <v>0</v>
      </c>
      <c r="P188" s="22">
        <f>L188+O188</f>
        <v>80859</v>
      </c>
      <c r="Q188" s="22">
        <v>10402</v>
      </c>
      <c r="R188" s="22">
        <f>2.35+190</f>
        <v>192.35</v>
      </c>
      <c r="S188" s="22">
        <f>SUM(P188:R188)</f>
        <v>91453.35</v>
      </c>
      <c r="T188" s="22">
        <v>0</v>
      </c>
      <c r="U188" s="22">
        <v>0</v>
      </c>
      <c r="V188" s="22">
        <f>444</f>
        <v>444</v>
      </c>
      <c r="W188" s="22">
        <f>SUM(S188:V188)+227-1010</f>
        <v>91114.35</v>
      </c>
      <c r="X188" s="22">
        <f>2000</f>
        <v>2000</v>
      </c>
      <c r="Y188" s="23">
        <f>1438.67-879</f>
        <v>559.67000000000007</v>
      </c>
      <c r="Z188" s="140">
        <f t="shared" si="64"/>
        <v>93674.02</v>
      </c>
      <c r="AA188" s="140">
        <f>33.2+60</f>
        <v>93.2</v>
      </c>
      <c r="AB188" s="140">
        <f>200</f>
        <v>200</v>
      </c>
      <c r="AC188" s="140">
        <v>0</v>
      </c>
      <c r="AD188" s="127">
        <f t="shared" si="63"/>
        <v>93967.22</v>
      </c>
    </row>
    <row r="189" spans="1:30" ht="15" customHeight="1" x14ac:dyDescent="0.25">
      <c r="A189" s="69" t="s">
        <v>223</v>
      </c>
      <c r="B189" s="68" t="s">
        <v>94</v>
      </c>
      <c r="C189" s="22">
        <v>113169</v>
      </c>
      <c r="D189" s="22">
        <v>0</v>
      </c>
      <c r="E189" s="22">
        <f t="shared" ref="E189:E198" si="68">SUM(C189:D189)</f>
        <v>113169</v>
      </c>
      <c r="F189" s="22">
        <v>7200</v>
      </c>
      <c r="G189" s="22">
        <v>0</v>
      </c>
      <c r="H189" s="22">
        <f t="shared" ref="H189:H192" si="69">SUM(E189:G189)</f>
        <v>120369</v>
      </c>
      <c r="I189" s="22">
        <v>9961</v>
      </c>
      <c r="J189" s="22">
        <v>0</v>
      </c>
      <c r="K189" s="22">
        <f t="shared" si="66"/>
        <v>130330</v>
      </c>
      <c r="L189" s="22">
        <v>142500</v>
      </c>
      <c r="M189" s="22">
        <f t="shared" ref="M189:M195" si="70">L189-K189</f>
        <v>12170</v>
      </c>
      <c r="N189" s="22">
        <f t="shared" ref="N189:N198" si="71">L189/K189</f>
        <v>1.0933783472723086</v>
      </c>
      <c r="O189" s="22">
        <v>0</v>
      </c>
      <c r="P189" s="22">
        <f t="shared" ref="P189:P198" si="72">L189+O189</f>
        <v>142500</v>
      </c>
      <c r="Q189" s="22">
        <v>2400</v>
      </c>
      <c r="R189" s="22">
        <v>0</v>
      </c>
      <c r="S189" s="22">
        <f t="shared" ref="S189:S198" si="73">SUM(P189:R189)</f>
        <v>144900</v>
      </c>
      <c r="T189" s="22">
        <v>0</v>
      </c>
      <c r="U189" s="22">
        <v>0</v>
      </c>
      <c r="V189" s="22">
        <v>0</v>
      </c>
      <c r="W189" s="22">
        <f t="shared" si="62"/>
        <v>144900</v>
      </c>
      <c r="X189" s="22">
        <v>0</v>
      </c>
      <c r="Y189" s="23">
        <v>0</v>
      </c>
      <c r="Z189" s="140">
        <f t="shared" si="64"/>
        <v>144900</v>
      </c>
      <c r="AA189" s="140">
        <v>0</v>
      </c>
      <c r="AB189" s="140">
        <v>0</v>
      </c>
      <c r="AC189" s="140">
        <v>0</v>
      </c>
      <c r="AD189" s="127">
        <f t="shared" si="63"/>
        <v>144900</v>
      </c>
    </row>
    <row r="190" spans="1:30" ht="15" customHeight="1" x14ac:dyDescent="0.25">
      <c r="A190" s="69" t="s">
        <v>224</v>
      </c>
      <c r="B190" s="68" t="s">
        <v>94</v>
      </c>
      <c r="C190" s="22">
        <v>21850</v>
      </c>
      <c r="D190" s="22">
        <v>0</v>
      </c>
      <c r="E190" s="22">
        <f t="shared" si="68"/>
        <v>21850</v>
      </c>
      <c r="F190" s="22">
        <v>0</v>
      </c>
      <c r="G190" s="22">
        <f>50.72</f>
        <v>50.72</v>
      </c>
      <c r="H190" s="22">
        <f t="shared" si="69"/>
        <v>21900.720000000001</v>
      </c>
      <c r="I190" s="22">
        <v>0</v>
      </c>
      <c r="J190" s="22">
        <v>0</v>
      </c>
      <c r="K190" s="22">
        <f t="shared" si="66"/>
        <v>21900.720000000001</v>
      </c>
      <c r="L190" s="22">
        <v>22500</v>
      </c>
      <c r="M190" s="22">
        <f t="shared" si="70"/>
        <v>599.27999999999884</v>
      </c>
      <c r="N190" s="22">
        <f t="shared" si="71"/>
        <v>1.0273634839402539</v>
      </c>
      <c r="O190" s="22">
        <f>232.94</f>
        <v>232.94</v>
      </c>
      <c r="P190" s="22">
        <f t="shared" si="72"/>
        <v>22732.94</v>
      </c>
      <c r="Q190" s="22">
        <v>0</v>
      </c>
      <c r="R190" s="22">
        <v>0</v>
      </c>
      <c r="S190" s="22">
        <f t="shared" si="73"/>
        <v>22732.94</v>
      </c>
      <c r="T190" s="22">
        <v>0</v>
      </c>
      <c r="U190" s="22">
        <v>0</v>
      </c>
      <c r="V190" s="22">
        <v>0</v>
      </c>
      <c r="W190" s="22">
        <f t="shared" si="62"/>
        <v>22732.94</v>
      </c>
      <c r="X190" s="22">
        <v>0</v>
      </c>
      <c r="Y190" s="23">
        <v>0</v>
      </c>
      <c r="Z190" s="140">
        <f t="shared" si="64"/>
        <v>22732.94</v>
      </c>
      <c r="AA190" s="140">
        <v>0</v>
      </c>
      <c r="AB190" s="140">
        <v>0</v>
      </c>
      <c r="AC190" s="140">
        <v>0</v>
      </c>
      <c r="AD190" s="127">
        <f t="shared" si="63"/>
        <v>22732.94</v>
      </c>
    </row>
    <row r="191" spans="1:30" ht="15" customHeight="1" x14ac:dyDescent="0.25">
      <c r="A191" s="69" t="s">
        <v>225</v>
      </c>
      <c r="B191" s="68" t="s">
        <v>94</v>
      </c>
      <c r="C191" s="22">
        <v>195</v>
      </c>
      <c r="D191" s="22">
        <v>0</v>
      </c>
      <c r="E191" s="22">
        <f t="shared" si="68"/>
        <v>195</v>
      </c>
      <c r="F191" s="22">
        <v>0</v>
      </c>
      <c r="G191" s="22">
        <v>0</v>
      </c>
      <c r="H191" s="22">
        <f t="shared" si="69"/>
        <v>195</v>
      </c>
      <c r="I191" s="22">
        <v>0</v>
      </c>
      <c r="J191" s="22">
        <v>0</v>
      </c>
      <c r="K191" s="22">
        <f t="shared" si="66"/>
        <v>195</v>
      </c>
      <c r="L191" s="22">
        <v>206</v>
      </c>
      <c r="M191" s="22">
        <f t="shared" si="70"/>
        <v>11</v>
      </c>
      <c r="N191" s="22">
        <f t="shared" si="71"/>
        <v>1.0564102564102564</v>
      </c>
      <c r="O191" s="22">
        <v>0</v>
      </c>
      <c r="P191" s="22">
        <f t="shared" si="72"/>
        <v>206</v>
      </c>
      <c r="Q191" s="22">
        <v>0</v>
      </c>
      <c r="R191" s="22">
        <v>0</v>
      </c>
      <c r="S191" s="22">
        <f t="shared" si="73"/>
        <v>206</v>
      </c>
      <c r="T191" s="22">
        <v>0</v>
      </c>
      <c r="U191" s="22">
        <v>0</v>
      </c>
      <c r="V191" s="22">
        <v>0</v>
      </c>
      <c r="W191" s="22">
        <f t="shared" si="62"/>
        <v>206</v>
      </c>
      <c r="X191" s="22">
        <v>0</v>
      </c>
      <c r="Y191" s="23">
        <v>0</v>
      </c>
      <c r="Z191" s="140">
        <f t="shared" si="64"/>
        <v>206</v>
      </c>
      <c r="AA191" s="140">
        <v>0</v>
      </c>
      <c r="AB191" s="140">
        <v>0</v>
      </c>
      <c r="AC191" s="140">
        <v>0</v>
      </c>
      <c r="AD191" s="127">
        <f t="shared" si="63"/>
        <v>206</v>
      </c>
    </row>
    <row r="192" spans="1:30" ht="15" customHeight="1" x14ac:dyDescent="0.25">
      <c r="A192" s="69" t="s">
        <v>226</v>
      </c>
      <c r="B192" s="68" t="s">
        <v>94</v>
      </c>
      <c r="C192" s="22">
        <v>171</v>
      </c>
      <c r="D192" s="22">
        <v>0</v>
      </c>
      <c r="E192" s="22">
        <f t="shared" si="68"/>
        <v>171</v>
      </c>
      <c r="F192" s="22">
        <v>0</v>
      </c>
      <c r="G192" s="22">
        <v>0</v>
      </c>
      <c r="H192" s="22">
        <f t="shared" si="69"/>
        <v>171</v>
      </c>
      <c r="I192" s="22">
        <v>0</v>
      </c>
      <c r="J192" s="22">
        <v>0</v>
      </c>
      <c r="K192" s="22">
        <f t="shared" si="66"/>
        <v>171</v>
      </c>
      <c r="L192" s="22">
        <v>170</v>
      </c>
      <c r="M192" s="22">
        <f t="shared" si="70"/>
        <v>-1</v>
      </c>
      <c r="N192" s="22">
        <f t="shared" si="71"/>
        <v>0.99415204678362568</v>
      </c>
      <c r="O192" s="22">
        <v>0</v>
      </c>
      <c r="P192" s="22">
        <f t="shared" si="72"/>
        <v>170</v>
      </c>
      <c r="Q192" s="22">
        <v>0</v>
      </c>
      <c r="R192" s="22">
        <v>0</v>
      </c>
      <c r="S192" s="22">
        <f t="shared" si="73"/>
        <v>170</v>
      </c>
      <c r="T192" s="22">
        <v>0</v>
      </c>
      <c r="U192" s="22">
        <v>0</v>
      </c>
      <c r="V192" s="22">
        <v>0</v>
      </c>
      <c r="W192" s="22">
        <f t="shared" si="62"/>
        <v>170</v>
      </c>
      <c r="X192" s="22">
        <v>0</v>
      </c>
      <c r="Y192" s="23">
        <v>0</v>
      </c>
      <c r="Z192" s="140">
        <f t="shared" si="64"/>
        <v>170</v>
      </c>
      <c r="AA192" s="140">
        <v>0</v>
      </c>
      <c r="AB192" s="140">
        <v>0</v>
      </c>
      <c r="AC192" s="140">
        <v>0</v>
      </c>
      <c r="AD192" s="127">
        <f t="shared" si="63"/>
        <v>170</v>
      </c>
    </row>
    <row r="193" spans="1:30" ht="15" customHeight="1" x14ac:dyDescent="0.25">
      <c r="A193" s="69" t="s">
        <v>227</v>
      </c>
      <c r="B193" s="68" t="s">
        <v>94</v>
      </c>
      <c r="C193" s="22">
        <v>833</v>
      </c>
      <c r="D193" s="22">
        <v>0</v>
      </c>
      <c r="E193" s="22">
        <f t="shared" si="68"/>
        <v>833</v>
      </c>
      <c r="F193" s="22">
        <v>0</v>
      </c>
      <c r="G193" s="22">
        <v>0</v>
      </c>
      <c r="H193" s="22">
        <f>SUM(E193:G193)</f>
        <v>833</v>
      </c>
      <c r="I193" s="22">
        <v>0</v>
      </c>
      <c r="J193" s="22">
        <v>0</v>
      </c>
      <c r="K193" s="22">
        <f t="shared" si="66"/>
        <v>833</v>
      </c>
      <c r="L193" s="22">
        <v>944</v>
      </c>
      <c r="M193" s="22">
        <f t="shared" si="70"/>
        <v>111</v>
      </c>
      <c r="N193" s="22">
        <f t="shared" si="71"/>
        <v>1.1332533013205282</v>
      </c>
      <c r="O193" s="22">
        <v>0</v>
      </c>
      <c r="P193" s="22">
        <f t="shared" si="72"/>
        <v>944</v>
      </c>
      <c r="Q193" s="22">
        <v>0</v>
      </c>
      <c r="R193" s="22">
        <v>0</v>
      </c>
      <c r="S193" s="22">
        <f t="shared" si="73"/>
        <v>944</v>
      </c>
      <c r="T193" s="22">
        <v>0</v>
      </c>
      <c r="U193" s="22">
        <v>0</v>
      </c>
      <c r="V193" s="22">
        <v>0</v>
      </c>
      <c r="W193" s="22">
        <f t="shared" si="62"/>
        <v>944</v>
      </c>
      <c r="X193" s="22">
        <v>0</v>
      </c>
      <c r="Y193" s="23">
        <v>0</v>
      </c>
      <c r="Z193" s="140">
        <f t="shared" si="64"/>
        <v>944</v>
      </c>
      <c r="AA193" s="140">
        <v>0</v>
      </c>
      <c r="AB193" s="140">
        <v>0</v>
      </c>
      <c r="AC193" s="140">
        <v>0</v>
      </c>
      <c r="AD193" s="127">
        <f t="shared" si="63"/>
        <v>944</v>
      </c>
    </row>
    <row r="194" spans="1:30" ht="15" customHeight="1" x14ac:dyDescent="0.25">
      <c r="A194" s="69" t="s">
        <v>228</v>
      </c>
      <c r="B194" s="68" t="s">
        <v>94</v>
      </c>
      <c r="C194" s="22">
        <v>213</v>
      </c>
      <c r="D194" s="22">
        <v>0</v>
      </c>
      <c r="E194" s="22">
        <f t="shared" si="68"/>
        <v>213</v>
      </c>
      <c r="F194" s="22">
        <v>0</v>
      </c>
      <c r="G194" s="22">
        <v>0</v>
      </c>
      <c r="H194" s="22">
        <f t="shared" ref="H194:H198" si="74">SUM(E194:G194)</f>
        <v>213</v>
      </c>
      <c r="I194" s="22">
        <v>0</v>
      </c>
      <c r="J194" s="22">
        <v>0</v>
      </c>
      <c r="K194" s="22">
        <f t="shared" si="66"/>
        <v>213</v>
      </c>
      <c r="L194" s="22">
        <v>250</v>
      </c>
      <c r="M194" s="22">
        <f t="shared" si="70"/>
        <v>37</v>
      </c>
      <c r="N194" s="22">
        <f t="shared" si="71"/>
        <v>1.1737089201877935</v>
      </c>
      <c r="O194" s="22">
        <v>0</v>
      </c>
      <c r="P194" s="22">
        <f t="shared" si="72"/>
        <v>250</v>
      </c>
      <c r="Q194" s="22">
        <v>0</v>
      </c>
      <c r="R194" s="22">
        <v>0</v>
      </c>
      <c r="S194" s="22">
        <f t="shared" si="73"/>
        <v>250</v>
      </c>
      <c r="T194" s="22">
        <v>0</v>
      </c>
      <c r="U194" s="22">
        <v>0</v>
      </c>
      <c r="V194" s="22">
        <v>0</v>
      </c>
      <c r="W194" s="22">
        <f t="shared" si="62"/>
        <v>250</v>
      </c>
      <c r="X194" s="22">
        <v>0</v>
      </c>
      <c r="Y194" s="23">
        <v>0</v>
      </c>
      <c r="Z194" s="140">
        <f t="shared" si="64"/>
        <v>250</v>
      </c>
      <c r="AA194" s="140">
        <v>0</v>
      </c>
      <c r="AB194" s="140">
        <v>0</v>
      </c>
      <c r="AC194" s="140">
        <v>0</v>
      </c>
      <c r="AD194" s="127">
        <f t="shared" si="63"/>
        <v>250</v>
      </c>
    </row>
    <row r="195" spans="1:30" ht="27.75" customHeight="1" x14ac:dyDescent="0.25">
      <c r="A195" s="20" t="s">
        <v>229</v>
      </c>
      <c r="B195" s="68" t="s">
        <v>94</v>
      </c>
      <c r="C195" s="22">
        <v>82</v>
      </c>
      <c r="D195" s="22">
        <v>0</v>
      </c>
      <c r="E195" s="22">
        <f t="shared" si="68"/>
        <v>82</v>
      </c>
      <c r="F195" s="22">
        <v>0</v>
      </c>
      <c r="G195" s="22">
        <v>0</v>
      </c>
      <c r="H195" s="22">
        <f t="shared" si="74"/>
        <v>82</v>
      </c>
      <c r="I195" s="22">
        <v>35</v>
      </c>
      <c r="J195" s="22">
        <v>0</v>
      </c>
      <c r="K195" s="22">
        <f t="shared" si="66"/>
        <v>117</v>
      </c>
      <c r="L195" s="22">
        <v>135</v>
      </c>
      <c r="M195" s="22">
        <f t="shared" si="70"/>
        <v>18</v>
      </c>
      <c r="N195" s="22">
        <f t="shared" si="71"/>
        <v>1.1538461538461537</v>
      </c>
      <c r="O195" s="22">
        <v>0</v>
      </c>
      <c r="P195" s="22">
        <f t="shared" si="72"/>
        <v>135</v>
      </c>
      <c r="Q195" s="22">
        <v>0</v>
      </c>
      <c r="R195" s="22">
        <v>0</v>
      </c>
      <c r="S195" s="22">
        <f t="shared" si="73"/>
        <v>135</v>
      </c>
      <c r="T195" s="22">
        <v>0</v>
      </c>
      <c r="U195" s="22">
        <v>0</v>
      </c>
      <c r="V195" s="22">
        <v>0</v>
      </c>
      <c r="W195" s="22">
        <f t="shared" si="62"/>
        <v>135</v>
      </c>
      <c r="X195" s="22">
        <v>0</v>
      </c>
      <c r="Y195" s="23">
        <v>0</v>
      </c>
      <c r="Z195" s="140">
        <f t="shared" si="64"/>
        <v>135</v>
      </c>
      <c r="AA195" s="140">
        <v>0</v>
      </c>
      <c r="AB195" s="140">
        <v>0</v>
      </c>
      <c r="AC195" s="140">
        <v>0</v>
      </c>
      <c r="AD195" s="127">
        <f t="shared" si="63"/>
        <v>135</v>
      </c>
    </row>
    <row r="196" spans="1:30" ht="24.75" customHeight="1" x14ac:dyDescent="0.25">
      <c r="A196" s="20" t="s">
        <v>230</v>
      </c>
      <c r="B196" s="68" t="s">
        <v>231</v>
      </c>
      <c r="C196" s="22"/>
      <c r="D196" s="22"/>
      <c r="E196" s="22"/>
      <c r="F196" s="22"/>
      <c r="G196" s="22"/>
      <c r="H196" s="22"/>
      <c r="I196" s="22"/>
      <c r="J196" s="22"/>
      <c r="K196" s="22"/>
      <c r="L196" s="22">
        <v>0</v>
      </c>
      <c r="M196" s="22"/>
      <c r="N196" s="22"/>
      <c r="O196" s="22"/>
      <c r="P196" s="22">
        <v>0</v>
      </c>
      <c r="Q196" s="22">
        <v>1500</v>
      </c>
      <c r="R196" s="22">
        <v>0</v>
      </c>
      <c r="S196" s="22">
        <f t="shared" si="73"/>
        <v>1500</v>
      </c>
      <c r="T196" s="22">
        <v>0</v>
      </c>
      <c r="U196" s="22">
        <v>0</v>
      </c>
      <c r="V196" s="22">
        <v>0</v>
      </c>
      <c r="W196" s="22">
        <f t="shared" si="62"/>
        <v>1500</v>
      </c>
      <c r="X196" s="22">
        <v>0</v>
      </c>
      <c r="Y196" s="23">
        <v>0</v>
      </c>
      <c r="Z196" s="140">
        <f t="shared" si="64"/>
        <v>1500</v>
      </c>
      <c r="AA196" s="140">
        <v>0</v>
      </c>
      <c r="AB196" s="140">
        <v>0</v>
      </c>
      <c r="AC196" s="140">
        <v>0</v>
      </c>
      <c r="AD196" s="127">
        <f t="shared" si="63"/>
        <v>1500</v>
      </c>
    </row>
    <row r="197" spans="1:30" ht="36.75" customHeight="1" x14ac:dyDescent="0.25">
      <c r="A197" s="20" t="s">
        <v>101</v>
      </c>
      <c r="B197" s="68"/>
      <c r="C197" s="22"/>
      <c r="D197" s="22"/>
      <c r="E197" s="22"/>
      <c r="F197" s="22"/>
      <c r="G197" s="22"/>
      <c r="H197" s="22"/>
      <c r="I197" s="22"/>
      <c r="J197" s="22"/>
      <c r="K197" s="22"/>
      <c r="L197" s="22">
        <v>0</v>
      </c>
      <c r="M197" s="22"/>
      <c r="N197" s="22"/>
      <c r="O197" s="22"/>
      <c r="P197" s="22">
        <v>0</v>
      </c>
      <c r="Q197" s="22">
        <v>2450</v>
      </c>
      <c r="R197" s="22">
        <v>0</v>
      </c>
      <c r="S197" s="22">
        <f>SUM(P197:R197)</f>
        <v>2450</v>
      </c>
      <c r="T197" s="22">
        <v>0</v>
      </c>
      <c r="U197" s="22">
        <v>0</v>
      </c>
      <c r="V197" s="22">
        <v>0</v>
      </c>
      <c r="W197" s="22">
        <f t="shared" si="62"/>
        <v>2450</v>
      </c>
      <c r="X197" s="22">
        <v>0</v>
      </c>
      <c r="Y197" s="23">
        <v>0</v>
      </c>
      <c r="Z197" s="140">
        <f t="shared" si="64"/>
        <v>2450</v>
      </c>
      <c r="AA197" s="140">
        <v>0</v>
      </c>
      <c r="AB197" s="140">
        <v>0</v>
      </c>
      <c r="AC197" s="140">
        <v>0</v>
      </c>
      <c r="AD197" s="127">
        <f t="shared" si="63"/>
        <v>2450</v>
      </c>
    </row>
    <row r="198" spans="1:30" ht="30.75" customHeight="1" thickBot="1" x14ac:dyDescent="0.3">
      <c r="A198" s="24" t="s">
        <v>232</v>
      </c>
      <c r="B198" s="60"/>
      <c r="C198" s="26">
        <v>63569</v>
      </c>
      <c r="D198" s="26">
        <v>0</v>
      </c>
      <c r="E198" s="26">
        <f t="shared" si="68"/>
        <v>63569</v>
      </c>
      <c r="F198" s="26">
        <v>1357</v>
      </c>
      <c r="G198" s="26">
        <v>0</v>
      </c>
      <c r="H198" s="26">
        <f t="shared" si="74"/>
        <v>64926</v>
      </c>
      <c r="I198" s="26">
        <v>465</v>
      </c>
      <c r="J198" s="26">
        <v>0</v>
      </c>
      <c r="K198" s="26">
        <f t="shared" si="66"/>
        <v>65391</v>
      </c>
      <c r="L198" s="26">
        <v>85270</v>
      </c>
      <c r="M198" s="26">
        <f>L198-K198</f>
        <v>19879</v>
      </c>
      <c r="N198" s="26">
        <f t="shared" si="71"/>
        <v>1.3040020797969138</v>
      </c>
      <c r="O198" s="26">
        <v>0</v>
      </c>
      <c r="P198" s="26">
        <f t="shared" si="72"/>
        <v>85270</v>
      </c>
      <c r="Q198" s="26">
        <v>2756</v>
      </c>
      <c r="R198" s="26">
        <f>-11</f>
        <v>-11</v>
      </c>
      <c r="S198" s="26">
        <f t="shared" si="73"/>
        <v>88015</v>
      </c>
      <c r="T198" s="26">
        <v>0</v>
      </c>
      <c r="U198" s="26">
        <v>0</v>
      </c>
      <c r="V198" s="26">
        <v>0</v>
      </c>
      <c r="W198" s="26">
        <f t="shared" si="62"/>
        <v>88015</v>
      </c>
      <c r="X198" s="26">
        <v>0</v>
      </c>
      <c r="Y198" s="27">
        <f>-1421</f>
        <v>-1421</v>
      </c>
      <c r="Z198" s="141">
        <f t="shared" si="64"/>
        <v>86594</v>
      </c>
      <c r="AA198" s="141">
        <f>-1324.4-60</f>
        <v>-1384.4</v>
      </c>
      <c r="AB198" s="141">
        <f>-2400</f>
        <v>-2400</v>
      </c>
      <c r="AC198" s="141">
        <v>0</v>
      </c>
      <c r="AD198" s="128">
        <f t="shared" si="63"/>
        <v>82809.600000000006</v>
      </c>
    </row>
    <row r="199" spans="1:30" ht="15.75" customHeight="1" thickBot="1" x14ac:dyDescent="0.3">
      <c r="A199" s="71" t="s">
        <v>233</v>
      </c>
      <c r="B199" s="65"/>
      <c r="C199" s="54">
        <f>SUM(C201:C208)</f>
        <v>116589.95</v>
      </c>
      <c r="D199" s="54">
        <f>SUM(D201:D208)</f>
        <v>0</v>
      </c>
      <c r="E199" s="54">
        <f>SUM(C199:D199)</f>
        <v>116589.95</v>
      </c>
      <c r="F199" s="54">
        <f>SUM(F201:F208)</f>
        <v>3441.1</v>
      </c>
      <c r="G199" s="54">
        <f>SUM(G201:G208)</f>
        <v>110</v>
      </c>
      <c r="H199" s="54">
        <f>SUM(H201:H208)</f>
        <v>120142.55</v>
      </c>
      <c r="I199" s="54">
        <f>SUM(I201:I208)</f>
        <v>200</v>
      </c>
      <c r="J199" s="54">
        <f>SUM(J201:J208)</f>
        <v>0</v>
      </c>
      <c r="K199" s="54">
        <f t="shared" si="66"/>
        <v>120342.55</v>
      </c>
      <c r="L199" s="54">
        <f t="shared" ref="L199" si="75">SUM(L201:L208)</f>
        <v>143507.16999999998</v>
      </c>
      <c r="M199" s="54">
        <f>SUM(M201:M208)</f>
        <v>23164.619999999988</v>
      </c>
      <c r="N199" s="54">
        <f>L199/K199</f>
        <v>1.1924890240401254</v>
      </c>
      <c r="O199" s="54">
        <f t="shared" ref="O199:T199" si="76">SUM(O201:O208)</f>
        <v>39.89</v>
      </c>
      <c r="P199" s="54">
        <f t="shared" si="76"/>
        <v>143547.06</v>
      </c>
      <c r="Q199" s="54">
        <f t="shared" si="76"/>
        <v>711.33</v>
      </c>
      <c r="R199" s="54">
        <f t="shared" si="76"/>
        <v>306.91000000000003</v>
      </c>
      <c r="S199" s="54">
        <f t="shared" si="76"/>
        <v>144565.29999999999</v>
      </c>
      <c r="T199" s="54">
        <f t="shared" si="76"/>
        <v>1180</v>
      </c>
      <c r="U199" s="54">
        <f>SUM(U201:U208)</f>
        <v>0</v>
      </c>
      <c r="V199" s="54">
        <f>SUM(V201:V208)</f>
        <v>0.56000000000000005</v>
      </c>
      <c r="W199" s="54">
        <f>SUM(W201:W208)</f>
        <v>145745.85999999996</v>
      </c>
      <c r="X199" s="54">
        <f>SUM(X201:X208)</f>
        <v>354.53</v>
      </c>
      <c r="Y199" s="55">
        <f>SUM(Y201:Y208)</f>
        <v>78.289999999999992</v>
      </c>
      <c r="Z199" s="54">
        <f t="shared" si="64"/>
        <v>146178.67999999996</v>
      </c>
      <c r="AA199" s="54">
        <f>SUM(AA201:AA208)</f>
        <v>124.4</v>
      </c>
      <c r="AB199" s="54">
        <f>SUM(AB201:AB208)</f>
        <v>-1760.81</v>
      </c>
      <c r="AC199" s="54">
        <f>SUM(AC201:AC208)</f>
        <v>0</v>
      </c>
      <c r="AD199" s="133">
        <f t="shared" ref="AD199:AD262" si="77">SUM(Z199:AC199)</f>
        <v>144542.26999999996</v>
      </c>
    </row>
    <row r="200" spans="1:30" ht="12" customHeight="1" x14ac:dyDescent="0.25">
      <c r="A200" s="72" t="s">
        <v>54</v>
      </c>
      <c r="B200" s="64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9"/>
      <c r="Z200" s="140"/>
      <c r="AA200" s="140"/>
      <c r="AB200" s="140"/>
      <c r="AC200" s="140"/>
      <c r="AD200" s="127"/>
    </row>
    <row r="201" spans="1:30" ht="24" customHeight="1" x14ac:dyDescent="0.25">
      <c r="A201" s="57" t="s">
        <v>234</v>
      </c>
      <c r="B201" s="58"/>
      <c r="C201" s="22">
        <v>0</v>
      </c>
      <c r="D201" s="22">
        <v>0</v>
      </c>
      <c r="E201" s="22">
        <f>SUM(C201:D201)</f>
        <v>0</v>
      </c>
      <c r="F201" s="22">
        <v>86.1</v>
      </c>
      <c r="G201" s="22">
        <v>0</v>
      </c>
      <c r="H201" s="22">
        <f>SUM(E201:G201)</f>
        <v>86.1</v>
      </c>
      <c r="I201" s="22">
        <v>0</v>
      </c>
      <c r="J201" s="22">
        <v>0</v>
      </c>
      <c r="K201" s="22">
        <f t="shared" si="66"/>
        <v>86.1</v>
      </c>
      <c r="L201" s="22">
        <v>374.93</v>
      </c>
      <c r="M201" s="22">
        <f>L201-K201</f>
        <v>288.83000000000004</v>
      </c>
      <c r="N201" s="22">
        <f>L201/K201</f>
        <v>4.3545876887340302</v>
      </c>
      <c r="O201" s="22">
        <v>0</v>
      </c>
      <c r="P201" s="22">
        <f>L201+O201</f>
        <v>374.93</v>
      </c>
      <c r="Q201" s="22">
        <v>0</v>
      </c>
      <c r="R201" s="22">
        <v>0</v>
      </c>
      <c r="S201" s="22">
        <f>SUM(P201:R201)</f>
        <v>374.93</v>
      </c>
      <c r="T201" s="22">
        <v>0</v>
      </c>
      <c r="U201" s="22">
        <v>0</v>
      </c>
      <c r="V201" s="22">
        <v>0</v>
      </c>
      <c r="W201" s="22">
        <f t="shared" si="62"/>
        <v>374.93</v>
      </c>
      <c r="X201" s="22">
        <v>0</v>
      </c>
      <c r="Y201" s="23">
        <v>0</v>
      </c>
      <c r="Z201" s="140">
        <f t="shared" si="64"/>
        <v>374.93</v>
      </c>
      <c r="AA201" s="140">
        <f>125</f>
        <v>125</v>
      </c>
      <c r="AB201" s="140">
        <v>0</v>
      </c>
      <c r="AC201" s="140">
        <v>0</v>
      </c>
      <c r="AD201" s="127">
        <f t="shared" si="77"/>
        <v>499.93</v>
      </c>
    </row>
    <row r="202" spans="1:30" ht="15" customHeight="1" x14ac:dyDescent="0.25">
      <c r="A202" s="69" t="s">
        <v>87</v>
      </c>
      <c r="B202" s="58"/>
      <c r="C202" s="22">
        <v>3187</v>
      </c>
      <c r="D202" s="22">
        <v>0</v>
      </c>
      <c r="E202" s="22">
        <f t="shared" ref="E202:E208" si="78">SUM(C202:D202)</f>
        <v>3187</v>
      </c>
      <c r="F202" s="22">
        <v>699</v>
      </c>
      <c r="G202" s="22">
        <v>0</v>
      </c>
      <c r="H202" s="22">
        <f>SUM(E202:G202)+1.5</f>
        <v>3887.5</v>
      </c>
      <c r="I202" s="22">
        <v>0</v>
      </c>
      <c r="J202" s="22">
        <v>0</v>
      </c>
      <c r="K202" s="22">
        <f t="shared" si="66"/>
        <v>3887.5</v>
      </c>
      <c r="L202" s="22">
        <v>4475.1899999999996</v>
      </c>
      <c r="M202" s="22">
        <f t="shared" ref="M202:M208" si="79">L202-K202</f>
        <v>587.6899999999996</v>
      </c>
      <c r="N202" s="22">
        <f t="shared" ref="N202:N208" si="80">L202/K202</f>
        <v>1.1511742765273312</v>
      </c>
      <c r="O202" s="22">
        <f>0+39.89</f>
        <v>39.89</v>
      </c>
      <c r="P202" s="22">
        <f t="shared" ref="P202:P208" si="81">L202+O202</f>
        <v>4515.08</v>
      </c>
      <c r="Q202" s="22">
        <v>0</v>
      </c>
      <c r="R202" s="22">
        <f>306.91</f>
        <v>306.91000000000003</v>
      </c>
      <c r="S202" s="22">
        <f t="shared" ref="S202:S207" si="82">SUM(P202:R202)</f>
        <v>4821.99</v>
      </c>
      <c r="T202" s="22">
        <v>93</v>
      </c>
      <c r="U202" s="22">
        <v>0</v>
      </c>
      <c r="V202" s="22">
        <f>0.56</f>
        <v>0.56000000000000005</v>
      </c>
      <c r="W202" s="22">
        <f>SUM(S202:V202)-6.9</f>
        <v>4908.6500000000005</v>
      </c>
      <c r="X202" s="22">
        <v>0</v>
      </c>
      <c r="Y202" s="23">
        <f>60.5</f>
        <v>60.5</v>
      </c>
      <c r="Z202" s="140">
        <f t="shared" si="64"/>
        <v>4969.1500000000005</v>
      </c>
      <c r="AA202" s="140">
        <v>0</v>
      </c>
      <c r="AB202" s="140">
        <f>-460</f>
        <v>-460</v>
      </c>
      <c r="AC202" s="140">
        <v>0</v>
      </c>
      <c r="AD202" s="127">
        <f t="shared" si="77"/>
        <v>4509.1500000000005</v>
      </c>
    </row>
    <row r="203" spans="1:30" ht="37.5" customHeight="1" x14ac:dyDescent="0.25">
      <c r="A203" s="20" t="s">
        <v>235</v>
      </c>
      <c r="B203" s="68" t="s">
        <v>236</v>
      </c>
      <c r="C203" s="22">
        <v>165.22</v>
      </c>
      <c r="D203" s="22">
        <v>0</v>
      </c>
      <c r="E203" s="22">
        <f t="shared" si="78"/>
        <v>165.22</v>
      </c>
      <c r="F203" s="22">
        <v>0</v>
      </c>
      <c r="G203" s="22">
        <v>0</v>
      </c>
      <c r="H203" s="22">
        <f t="shared" ref="H203:H208" si="83">SUM(E203:G203)</f>
        <v>165.22</v>
      </c>
      <c r="I203" s="22">
        <v>0</v>
      </c>
      <c r="J203" s="22">
        <v>0</v>
      </c>
      <c r="K203" s="22">
        <f t="shared" si="66"/>
        <v>165.22</v>
      </c>
      <c r="L203" s="22">
        <v>55.25</v>
      </c>
      <c r="M203" s="22">
        <f t="shared" si="79"/>
        <v>-109.97</v>
      </c>
      <c r="N203" s="22">
        <f t="shared" si="80"/>
        <v>0.33440261469555743</v>
      </c>
      <c r="O203" s="22">
        <v>0</v>
      </c>
      <c r="P203" s="22">
        <f t="shared" si="81"/>
        <v>55.25</v>
      </c>
      <c r="Q203" s="22">
        <v>0</v>
      </c>
      <c r="R203" s="22">
        <v>0</v>
      </c>
      <c r="S203" s="22">
        <f t="shared" si="82"/>
        <v>55.25</v>
      </c>
      <c r="T203" s="22">
        <v>30</v>
      </c>
      <c r="U203" s="22">
        <v>0</v>
      </c>
      <c r="V203" s="22">
        <v>0</v>
      </c>
      <c r="W203" s="22">
        <f t="shared" ref="W203:W275" si="84">SUM(S203:V203)</f>
        <v>85.25</v>
      </c>
      <c r="X203" s="22">
        <f>104.53</f>
        <v>104.53</v>
      </c>
      <c r="Y203" s="23">
        <v>0</v>
      </c>
      <c r="Z203" s="140">
        <f t="shared" si="64"/>
        <v>189.78</v>
      </c>
      <c r="AA203" s="140">
        <v>0</v>
      </c>
      <c r="AB203" s="140">
        <f>-3.25</f>
        <v>-3.25</v>
      </c>
      <c r="AC203" s="140">
        <v>0</v>
      </c>
      <c r="AD203" s="127">
        <f t="shared" si="77"/>
        <v>186.53</v>
      </c>
    </row>
    <row r="204" spans="1:30" ht="25.5" customHeight="1" x14ac:dyDescent="0.25">
      <c r="A204" s="20" t="s">
        <v>237</v>
      </c>
      <c r="B204" s="68" t="s">
        <v>238</v>
      </c>
      <c r="C204" s="22">
        <v>286.73</v>
      </c>
      <c r="D204" s="22">
        <v>0</v>
      </c>
      <c r="E204" s="22">
        <f t="shared" si="78"/>
        <v>286.73</v>
      </c>
      <c r="F204" s="22">
        <v>0</v>
      </c>
      <c r="G204" s="22">
        <v>0</v>
      </c>
      <c r="H204" s="22">
        <f t="shared" si="83"/>
        <v>286.73</v>
      </c>
      <c r="I204" s="22">
        <v>0</v>
      </c>
      <c r="J204" s="22">
        <v>0</v>
      </c>
      <c r="K204" s="22">
        <f t="shared" si="66"/>
        <v>286.73</v>
      </c>
      <c r="L204" s="22">
        <v>200</v>
      </c>
      <c r="M204" s="22">
        <f t="shared" si="79"/>
        <v>-86.730000000000018</v>
      </c>
      <c r="N204" s="22">
        <f t="shared" si="80"/>
        <v>0.69752031527918246</v>
      </c>
      <c r="O204" s="22">
        <v>0</v>
      </c>
      <c r="P204" s="22">
        <f t="shared" si="81"/>
        <v>200</v>
      </c>
      <c r="Q204" s="22">
        <v>0</v>
      </c>
      <c r="R204" s="22">
        <v>0</v>
      </c>
      <c r="S204" s="22">
        <f t="shared" si="82"/>
        <v>200</v>
      </c>
      <c r="T204" s="22">
        <v>0</v>
      </c>
      <c r="U204" s="22">
        <v>0</v>
      </c>
      <c r="V204" s="22">
        <v>0</v>
      </c>
      <c r="W204" s="22">
        <f t="shared" si="84"/>
        <v>200</v>
      </c>
      <c r="X204" s="22">
        <v>0</v>
      </c>
      <c r="Y204" s="23">
        <v>0</v>
      </c>
      <c r="Z204" s="140">
        <f t="shared" si="64"/>
        <v>200</v>
      </c>
      <c r="AA204" s="140">
        <v>0</v>
      </c>
      <c r="AB204" s="140">
        <f>-42.23</f>
        <v>-42.23</v>
      </c>
      <c r="AC204" s="140">
        <v>0</v>
      </c>
      <c r="AD204" s="127">
        <f t="shared" si="77"/>
        <v>157.77000000000001</v>
      </c>
    </row>
    <row r="205" spans="1:30" ht="23.25" customHeight="1" x14ac:dyDescent="0.25">
      <c r="A205" s="20" t="s">
        <v>239</v>
      </c>
      <c r="B205" s="94"/>
      <c r="C205" s="22">
        <v>6</v>
      </c>
      <c r="D205" s="22">
        <v>0</v>
      </c>
      <c r="E205" s="22">
        <f t="shared" si="78"/>
        <v>6</v>
      </c>
      <c r="F205" s="22">
        <v>0</v>
      </c>
      <c r="G205" s="22">
        <v>0</v>
      </c>
      <c r="H205" s="22">
        <f t="shared" si="83"/>
        <v>6</v>
      </c>
      <c r="I205" s="22">
        <v>0</v>
      </c>
      <c r="J205" s="22">
        <v>0</v>
      </c>
      <c r="K205" s="22">
        <f t="shared" si="66"/>
        <v>6</v>
      </c>
      <c r="L205" s="22">
        <v>6</v>
      </c>
      <c r="M205" s="22">
        <f t="shared" si="79"/>
        <v>0</v>
      </c>
      <c r="N205" s="22">
        <f t="shared" si="80"/>
        <v>1</v>
      </c>
      <c r="O205" s="22">
        <v>0</v>
      </c>
      <c r="P205" s="22">
        <f t="shared" si="81"/>
        <v>6</v>
      </c>
      <c r="Q205" s="22">
        <v>0</v>
      </c>
      <c r="R205" s="22">
        <v>0</v>
      </c>
      <c r="S205" s="22">
        <f t="shared" si="82"/>
        <v>6</v>
      </c>
      <c r="T205" s="22">
        <v>0.16</v>
      </c>
      <c r="U205" s="22">
        <v>0</v>
      </c>
      <c r="V205" s="22">
        <v>0</v>
      </c>
      <c r="W205" s="22">
        <f t="shared" si="84"/>
        <v>6.16</v>
      </c>
      <c r="X205" s="22">
        <v>0</v>
      </c>
      <c r="Y205" s="23">
        <v>0</v>
      </c>
      <c r="Z205" s="140">
        <f t="shared" si="64"/>
        <v>6.16</v>
      </c>
      <c r="AA205" s="140">
        <v>0</v>
      </c>
      <c r="AB205" s="140">
        <v>0</v>
      </c>
      <c r="AC205" s="140">
        <v>0</v>
      </c>
      <c r="AD205" s="127">
        <f t="shared" si="77"/>
        <v>6.16</v>
      </c>
    </row>
    <row r="206" spans="1:30" ht="15" customHeight="1" x14ac:dyDescent="0.25">
      <c r="A206" s="69" t="s">
        <v>240</v>
      </c>
      <c r="B206" s="68" t="s">
        <v>241</v>
      </c>
      <c r="C206" s="22">
        <v>180</v>
      </c>
      <c r="D206" s="22">
        <v>0</v>
      </c>
      <c r="E206" s="22">
        <f t="shared" si="78"/>
        <v>180</v>
      </c>
      <c r="F206" s="22">
        <v>0</v>
      </c>
      <c r="G206" s="22">
        <v>0</v>
      </c>
      <c r="H206" s="22">
        <f t="shared" si="83"/>
        <v>180</v>
      </c>
      <c r="I206" s="22">
        <v>0</v>
      </c>
      <c r="J206" s="22">
        <v>0</v>
      </c>
      <c r="K206" s="22">
        <f t="shared" si="66"/>
        <v>180</v>
      </c>
      <c r="L206" s="22">
        <v>180</v>
      </c>
      <c r="M206" s="22">
        <f t="shared" si="79"/>
        <v>0</v>
      </c>
      <c r="N206" s="22">
        <f t="shared" si="80"/>
        <v>1</v>
      </c>
      <c r="O206" s="22">
        <v>0</v>
      </c>
      <c r="P206" s="22">
        <f t="shared" si="81"/>
        <v>180</v>
      </c>
      <c r="Q206" s="22">
        <v>0</v>
      </c>
      <c r="R206" s="22">
        <v>0</v>
      </c>
      <c r="S206" s="22">
        <f t="shared" si="82"/>
        <v>180</v>
      </c>
      <c r="T206" s="22">
        <v>0</v>
      </c>
      <c r="U206" s="22">
        <v>0</v>
      </c>
      <c r="V206" s="22">
        <v>0</v>
      </c>
      <c r="W206" s="22">
        <f t="shared" si="84"/>
        <v>180</v>
      </c>
      <c r="X206" s="22">
        <v>0</v>
      </c>
      <c r="Y206" s="23">
        <v>0</v>
      </c>
      <c r="Z206" s="140">
        <f t="shared" si="64"/>
        <v>180</v>
      </c>
      <c r="AA206" s="140">
        <v>0</v>
      </c>
      <c r="AB206" s="140">
        <v>0</v>
      </c>
      <c r="AC206" s="140">
        <v>0</v>
      </c>
      <c r="AD206" s="127">
        <f t="shared" si="77"/>
        <v>180</v>
      </c>
    </row>
    <row r="207" spans="1:30" ht="15" customHeight="1" x14ac:dyDescent="0.25">
      <c r="A207" s="69" t="s">
        <v>242</v>
      </c>
      <c r="B207" s="68" t="s">
        <v>241</v>
      </c>
      <c r="C207" s="22">
        <v>810</v>
      </c>
      <c r="D207" s="22">
        <v>0</v>
      </c>
      <c r="E207" s="22">
        <f t="shared" si="78"/>
        <v>810</v>
      </c>
      <c r="F207" s="22">
        <v>0</v>
      </c>
      <c r="G207" s="22">
        <v>0</v>
      </c>
      <c r="H207" s="22">
        <f t="shared" si="83"/>
        <v>810</v>
      </c>
      <c r="I207" s="22">
        <v>0</v>
      </c>
      <c r="J207" s="22">
        <v>0</v>
      </c>
      <c r="K207" s="22">
        <f t="shared" si="66"/>
        <v>810</v>
      </c>
      <c r="L207" s="22">
        <v>810</v>
      </c>
      <c r="M207" s="22">
        <f t="shared" si="79"/>
        <v>0</v>
      </c>
      <c r="N207" s="22">
        <f t="shared" si="80"/>
        <v>1</v>
      </c>
      <c r="O207" s="22">
        <v>0</v>
      </c>
      <c r="P207" s="22">
        <f t="shared" si="81"/>
        <v>810</v>
      </c>
      <c r="Q207" s="22">
        <v>0</v>
      </c>
      <c r="R207" s="22">
        <v>0</v>
      </c>
      <c r="S207" s="22">
        <f t="shared" si="82"/>
        <v>810</v>
      </c>
      <c r="T207" s="22">
        <v>0</v>
      </c>
      <c r="U207" s="22">
        <v>0</v>
      </c>
      <c r="V207" s="22">
        <v>0</v>
      </c>
      <c r="W207" s="22">
        <f t="shared" si="84"/>
        <v>810</v>
      </c>
      <c r="X207" s="22">
        <v>0</v>
      </c>
      <c r="Y207" s="23">
        <v>0</v>
      </c>
      <c r="Z207" s="140">
        <f t="shared" si="64"/>
        <v>810</v>
      </c>
      <c r="AA207" s="140">
        <v>0</v>
      </c>
      <c r="AB207" s="140">
        <v>0</v>
      </c>
      <c r="AC207" s="140">
        <v>0</v>
      </c>
      <c r="AD207" s="127">
        <f t="shared" si="77"/>
        <v>810</v>
      </c>
    </row>
    <row r="208" spans="1:30" ht="25.5" customHeight="1" x14ac:dyDescent="0.25">
      <c r="A208" s="20" t="s">
        <v>243</v>
      </c>
      <c r="B208" s="58"/>
      <c r="C208" s="22">
        <v>111955</v>
      </c>
      <c r="D208" s="22">
        <v>0</v>
      </c>
      <c r="E208" s="22">
        <f t="shared" si="78"/>
        <v>111955</v>
      </c>
      <c r="F208" s="22">
        <v>2656</v>
      </c>
      <c r="G208" s="22">
        <f>110</f>
        <v>110</v>
      </c>
      <c r="H208" s="22">
        <f t="shared" si="83"/>
        <v>114721</v>
      </c>
      <c r="I208" s="22">
        <v>200</v>
      </c>
      <c r="J208" s="22">
        <v>0</v>
      </c>
      <c r="K208" s="22">
        <f t="shared" si="66"/>
        <v>114921</v>
      </c>
      <c r="L208" s="22">
        <v>137405.79999999999</v>
      </c>
      <c r="M208" s="22">
        <f t="shared" si="79"/>
        <v>22484.799999999988</v>
      </c>
      <c r="N208" s="22">
        <f t="shared" si="80"/>
        <v>1.1956544060702567</v>
      </c>
      <c r="O208" s="22">
        <v>0</v>
      </c>
      <c r="P208" s="22">
        <f t="shared" si="81"/>
        <v>137405.79999999999</v>
      </c>
      <c r="Q208" s="22">
        <v>711.33</v>
      </c>
      <c r="R208" s="22">
        <v>0</v>
      </c>
      <c r="S208" s="22">
        <f>SUM(P208:R208)</f>
        <v>138117.12999999998</v>
      </c>
      <c r="T208" s="22">
        <v>1056.8399999999999</v>
      </c>
      <c r="U208" s="22">
        <v>0</v>
      </c>
      <c r="V208" s="22">
        <v>0</v>
      </c>
      <c r="W208" s="22">
        <f>SUM(S208:V208)+6.9</f>
        <v>139180.86999999997</v>
      </c>
      <c r="X208" s="22">
        <f>250</f>
        <v>250</v>
      </c>
      <c r="Y208" s="23">
        <f>17.79</f>
        <v>17.79</v>
      </c>
      <c r="Z208" s="144">
        <f t="shared" si="64"/>
        <v>139448.65999999997</v>
      </c>
      <c r="AA208" s="144">
        <f>-0.6</f>
        <v>-0.6</v>
      </c>
      <c r="AB208" s="144">
        <f>-1255.33</f>
        <v>-1255.33</v>
      </c>
      <c r="AC208" s="144">
        <v>0</v>
      </c>
      <c r="AD208" s="134">
        <f t="shared" si="77"/>
        <v>138192.72999999998</v>
      </c>
    </row>
    <row r="209" spans="1:30" ht="16.350000000000001" customHeight="1" thickBot="1" x14ac:dyDescent="0.3">
      <c r="A209" s="171" t="s">
        <v>244</v>
      </c>
      <c r="B209" s="172"/>
      <c r="C209" s="173">
        <f>SUM(C211:C258)</f>
        <v>91591.54</v>
      </c>
      <c r="D209" s="173">
        <f>SUM(D211:D258)</f>
        <v>16.22</v>
      </c>
      <c r="E209" s="173">
        <f>SUM(C209:D209)</f>
        <v>91607.76</v>
      </c>
      <c r="F209" s="173">
        <f>SUM(F211:F258)</f>
        <v>5038.7700000000004</v>
      </c>
      <c r="G209" s="173">
        <f>SUM(G211:G258)</f>
        <v>-36.22</v>
      </c>
      <c r="H209" s="173">
        <f>SUM(H211:H258)</f>
        <v>96660.31</v>
      </c>
      <c r="I209" s="173">
        <f>SUM(I211:I258)</f>
        <v>8100</v>
      </c>
      <c r="J209" s="173">
        <f>SUM(J211:J258)</f>
        <v>17</v>
      </c>
      <c r="K209" s="173">
        <f t="shared" si="66"/>
        <v>104777.31</v>
      </c>
      <c r="L209" s="173">
        <f>SUM(L211:L258)</f>
        <v>109533.09999999999</v>
      </c>
      <c r="M209" s="173">
        <f>SUM(M211:M258)</f>
        <v>4755.7900000000009</v>
      </c>
      <c r="N209" s="173">
        <f>L209/K209</f>
        <v>1.0453895027463485</v>
      </c>
      <c r="O209" s="173">
        <f t="shared" ref="O209:T209" si="85">SUM(O211:O258)</f>
        <v>1490.08</v>
      </c>
      <c r="P209" s="173">
        <f t="shared" si="85"/>
        <v>111023.18</v>
      </c>
      <c r="Q209" s="173">
        <f t="shared" si="85"/>
        <v>11087.17</v>
      </c>
      <c r="R209" s="173">
        <f t="shared" si="85"/>
        <v>44470</v>
      </c>
      <c r="S209" s="173">
        <f t="shared" si="85"/>
        <v>166605.34999999998</v>
      </c>
      <c r="T209" s="173">
        <f t="shared" si="85"/>
        <v>0</v>
      </c>
      <c r="U209" s="173">
        <f>SUM(U211:U258)</f>
        <v>0</v>
      </c>
      <c r="V209" s="173">
        <f>SUM(V211:V258)</f>
        <v>17</v>
      </c>
      <c r="W209" s="173">
        <f>SUM(W211:W258)</f>
        <v>166622.34999999998</v>
      </c>
      <c r="X209" s="173">
        <f>SUM(X211:X258)</f>
        <v>262</v>
      </c>
      <c r="Y209" s="174">
        <f>SUM(Y211:Y258)</f>
        <v>18774</v>
      </c>
      <c r="Z209" s="173">
        <f t="shared" si="64"/>
        <v>185658.34999999998</v>
      </c>
      <c r="AA209" s="173">
        <f>SUM(AA211:AA258)</f>
        <v>0</v>
      </c>
      <c r="AB209" s="173">
        <f>SUM(AB211:AB258)</f>
        <v>-7843</v>
      </c>
      <c r="AC209" s="173">
        <f>SUM(AC211:AC258)</f>
        <v>0</v>
      </c>
      <c r="AD209" s="175">
        <f t="shared" si="77"/>
        <v>177815.34999999998</v>
      </c>
    </row>
    <row r="210" spans="1:30" ht="15" customHeight="1" x14ac:dyDescent="0.25">
      <c r="A210" s="72" t="s">
        <v>54</v>
      </c>
      <c r="B210" s="64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9"/>
      <c r="Z210" s="140"/>
      <c r="AA210" s="140"/>
      <c r="AB210" s="140"/>
      <c r="AC210" s="140"/>
      <c r="AD210" s="127"/>
    </row>
    <row r="211" spans="1:30" ht="23.25" customHeight="1" x14ac:dyDescent="0.25">
      <c r="A211" s="20" t="s">
        <v>245</v>
      </c>
      <c r="B211" s="58"/>
      <c r="C211" s="22">
        <v>0</v>
      </c>
      <c r="D211" s="22">
        <v>0</v>
      </c>
      <c r="E211" s="22">
        <f>SUM(C211:D211)</f>
        <v>0</v>
      </c>
      <c r="F211" s="22">
        <v>0</v>
      </c>
      <c r="G211" s="22">
        <f>5</f>
        <v>5</v>
      </c>
      <c r="H211" s="22">
        <f>SUM(E211:G211)+50</f>
        <v>55</v>
      </c>
      <c r="I211" s="22">
        <v>7850</v>
      </c>
      <c r="J211" s="22">
        <f>17</f>
        <v>17</v>
      </c>
      <c r="K211" s="22">
        <f t="shared" si="66"/>
        <v>7922</v>
      </c>
      <c r="L211" s="22">
        <v>0</v>
      </c>
      <c r="M211" s="22">
        <f>L211-K211</f>
        <v>-7922</v>
      </c>
      <c r="N211" s="22">
        <f>L211/K211</f>
        <v>0</v>
      </c>
      <c r="O211" s="22">
        <v>0</v>
      </c>
      <c r="P211" s="22">
        <f>L211+O211</f>
        <v>0</v>
      </c>
      <c r="Q211" s="22">
        <v>87.17</v>
      </c>
      <c r="R211" s="22">
        <v>0</v>
      </c>
      <c r="S211" s="22">
        <f>SUM(P211:R211)+25</f>
        <v>112.17</v>
      </c>
      <c r="T211" s="22">
        <v>0</v>
      </c>
      <c r="U211" s="22">
        <v>0</v>
      </c>
      <c r="V211" s="22">
        <f>17</f>
        <v>17</v>
      </c>
      <c r="W211" s="22">
        <f t="shared" si="84"/>
        <v>129.17000000000002</v>
      </c>
      <c r="X211" s="22">
        <v>0</v>
      </c>
      <c r="Y211" s="23">
        <v>0</v>
      </c>
      <c r="Z211" s="140">
        <f t="shared" si="64"/>
        <v>129.17000000000002</v>
      </c>
      <c r="AA211" s="140">
        <v>0</v>
      </c>
      <c r="AB211" s="140">
        <v>0</v>
      </c>
      <c r="AC211" s="140">
        <v>0</v>
      </c>
      <c r="AD211" s="127">
        <f t="shared" si="77"/>
        <v>129.17000000000002</v>
      </c>
    </row>
    <row r="212" spans="1:30" ht="25.5" customHeight="1" x14ac:dyDescent="0.25">
      <c r="A212" s="20" t="s">
        <v>246</v>
      </c>
      <c r="B212" s="68" t="s">
        <v>247</v>
      </c>
      <c r="C212" s="22">
        <v>13000</v>
      </c>
      <c r="D212" s="22">
        <v>0</v>
      </c>
      <c r="E212" s="22">
        <f t="shared" ref="E212:E258" si="86">SUM(C212:D212)</f>
        <v>13000</v>
      </c>
      <c r="F212" s="22">
        <v>-17.5</v>
      </c>
      <c r="G212" s="22">
        <v>0</v>
      </c>
      <c r="H212" s="22">
        <f t="shared" ref="H212:H258" si="87">SUM(E212:G212)</f>
        <v>12982.5</v>
      </c>
      <c r="I212" s="22">
        <v>0</v>
      </c>
      <c r="J212" s="22">
        <v>0</v>
      </c>
      <c r="K212" s="22">
        <f t="shared" si="66"/>
        <v>12982.5</v>
      </c>
      <c r="L212" s="22">
        <v>15000</v>
      </c>
      <c r="M212" s="22">
        <f t="shared" ref="M212:M258" si="88">L212-K212</f>
        <v>2017.5</v>
      </c>
      <c r="N212" s="22">
        <f t="shared" ref="N212:N262" si="89">L212/K212</f>
        <v>1.1554015020219526</v>
      </c>
      <c r="O212" s="22">
        <v>0</v>
      </c>
      <c r="P212" s="22">
        <f t="shared" ref="P212:P258" si="90">L212+O212</f>
        <v>15000</v>
      </c>
      <c r="Q212" s="22">
        <v>0</v>
      </c>
      <c r="R212" s="22">
        <v>0</v>
      </c>
      <c r="S212" s="22">
        <f t="shared" ref="S212:S257" si="91">SUM(P212:R212)</f>
        <v>15000</v>
      </c>
      <c r="T212" s="22">
        <v>0</v>
      </c>
      <c r="U212" s="22">
        <v>0</v>
      </c>
      <c r="V212" s="22">
        <v>0</v>
      </c>
      <c r="W212" s="22">
        <f t="shared" si="84"/>
        <v>15000</v>
      </c>
      <c r="X212" s="22">
        <v>0</v>
      </c>
      <c r="Y212" s="23">
        <v>0</v>
      </c>
      <c r="Z212" s="140">
        <f t="shared" si="64"/>
        <v>15000</v>
      </c>
      <c r="AA212" s="140">
        <v>0</v>
      </c>
      <c r="AB212" s="140">
        <v>0</v>
      </c>
      <c r="AC212" s="140">
        <v>0</v>
      </c>
      <c r="AD212" s="127">
        <f t="shared" si="77"/>
        <v>15000</v>
      </c>
    </row>
    <row r="213" spans="1:30" ht="25.5" customHeight="1" x14ac:dyDescent="0.25">
      <c r="A213" s="20" t="s">
        <v>248</v>
      </c>
      <c r="B213" s="68" t="s">
        <v>249</v>
      </c>
      <c r="C213" s="22">
        <v>400</v>
      </c>
      <c r="D213" s="22">
        <v>0</v>
      </c>
      <c r="E213" s="22">
        <f t="shared" si="86"/>
        <v>400</v>
      </c>
      <c r="F213" s="22">
        <v>0</v>
      </c>
      <c r="G213" s="22">
        <v>0</v>
      </c>
      <c r="H213" s="22">
        <f t="shared" si="87"/>
        <v>400</v>
      </c>
      <c r="I213" s="22">
        <v>0</v>
      </c>
      <c r="J213" s="22">
        <v>0</v>
      </c>
      <c r="K213" s="22">
        <f t="shared" si="66"/>
        <v>400</v>
      </c>
      <c r="L213" s="22">
        <v>800</v>
      </c>
      <c r="M213" s="22">
        <f t="shared" si="88"/>
        <v>400</v>
      </c>
      <c r="N213" s="22">
        <f t="shared" si="89"/>
        <v>2</v>
      </c>
      <c r="O213" s="22">
        <v>0</v>
      </c>
      <c r="P213" s="22">
        <f t="shared" si="90"/>
        <v>800</v>
      </c>
      <c r="Q213" s="22">
        <v>-225</v>
      </c>
      <c r="R213" s="22">
        <v>0</v>
      </c>
      <c r="S213" s="22">
        <f t="shared" si="91"/>
        <v>575</v>
      </c>
      <c r="T213" s="22">
        <v>0</v>
      </c>
      <c r="U213" s="22">
        <v>0</v>
      </c>
      <c r="V213" s="22">
        <v>0</v>
      </c>
      <c r="W213" s="22">
        <f t="shared" si="84"/>
        <v>575</v>
      </c>
      <c r="X213" s="22">
        <v>0</v>
      </c>
      <c r="Y213" s="23">
        <v>0</v>
      </c>
      <c r="Z213" s="140">
        <f t="shared" si="64"/>
        <v>575</v>
      </c>
      <c r="AA213" s="140">
        <v>0</v>
      </c>
      <c r="AB213" s="140">
        <v>0</v>
      </c>
      <c r="AC213" s="140">
        <v>0</v>
      </c>
      <c r="AD213" s="127">
        <f t="shared" si="77"/>
        <v>575</v>
      </c>
    </row>
    <row r="214" spans="1:30" ht="33.75" customHeight="1" x14ac:dyDescent="0.25">
      <c r="A214" s="20" t="s">
        <v>250</v>
      </c>
      <c r="B214" s="68" t="s">
        <v>251</v>
      </c>
      <c r="C214" s="22">
        <v>800</v>
      </c>
      <c r="D214" s="22">
        <v>0</v>
      </c>
      <c r="E214" s="22">
        <f t="shared" si="86"/>
        <v>800</v>
      </c>
      <c r="F214" s="22">
        <v>-72.5</v>
      </c>
      <c r="G214" s="22">
        <v>0</v>
      </c>
      <c r="H214" s="22">
        <f t="shared" si="87"/>
        <v>727.5</v>
      </c>
      <c r="I214" s="22">
        <v>0</v>
      </c>
      <c r="J214" s="22">
        <v>0</v>
      </c>
      <c r="K214" s="22">
        <f t="shared" si="66"/>
        <v>727.5</v>
      </c>
      <c r="L214" s="22">
        <v>900</v>
      </c>
      <c r="M214" s="22">
        <f t="shared" si="88"/>
        <v>172.5</v>
      </c>
      <c r="N214" s="22">
        <f t="shared" si="89"/>
        <v>1.2371134020618557</v>
      </c>
      <c r="O214" s="22">
        <v>0</v>
      </c>
      <c r="P214" s="22">
        <f t="shared" si="90"/>
        <v>900</v>
      </c>
      <c r="Q214" s="22">
        <v>0</v>
      </c>
      <c r="R214" s="22">
        <v>0</v>
      </c>
      <c r="S214" s="22">
        <f t="shared" si="91"/>
        <v>900</v>
      </c>
      <c r="T214" s="22">
        <v>0</v>
      </c>
      <c r="U214" s="22">
        <v>0</v>
      </c>
      <c r="V214" s="22">
        <v>0</v>
      </c>
      <c r="W214" s="22">
        <f t="shared" si="84"/>
        <v>900</v>
      </c>
      <c r="X214" s="22">
        <v>0</v>
      </c>
      <c r="Y214" s="23">
        <v>0</v>
      </c>
      <c r="Z214" s="140">
        <f t="shared" si="64"/>
        <v>900</v>
      </c>
      <c r="AA214" s="140">
        <v>0</v>
      </c>
      <c r="AB214" s="140">
        <v>0</v>
      </c>
      <c r="AC214" s="140">
        <v>0</v>
      </c>
      <c r="AD214" s="127">
        <f t="shared" si="77"/>
        <v>900</v>
      </c>
    </row>
    <row r="215" spans="1:30" ht="63" customHeight="1" x14ac:dyDescent="0.25">
      <c r="A215" s="20" t="s">
        <v>252</v>
      </c>
      <c r="B215" s="68" t="s">
        <v>94</v>
      </c>
      <c r="C215" s="22">
        <v>10950</v>
      </c>
      <c r="D215" s="22">
        <v>0</v>
      </c>
      <c r="E215" s="22">
        <f t="shared" si="86"/>
        <v>10950</v>
      </c>
      <c r="F215" s="22">
        <v>950</v>
      </c>
      <c r="G215" s="22">
        <v>0</v>
      </c>
      <c r="H215" s="22">
        <f t="shared" si="87"/>
        <v>11900</v>
      </c>
      <c r="I215" s="22">
        <v>0</v>
      </c>
      <c r="J215" s="22">
        <v>0</v>
      </c>
      <c r="K215" s="22">
        <f t="shared" si="66"/>
        <v>11900</v>
      </c>
      <c r="L215" s="73">
        <v>13846</v>
      </c>
      <c r="M215" s="22">
        <f t="shared" si="88"/>
        <v>1946</v>
      </c>
      <c r="N215" s="22">
        <f t="shared" si="89"/>
        <v>1.1635294117647059</v>
      </c>
      <c r="O215" s="22">
        <v>0</v>
      </c>
      <c r="P215" s="22">
        <f t="shared" si="90"/>
        <v>13846</v>
      </c>
      <c r="Q215" s="22">
        <v>0</v>
      </c>
      <c r="R215" s="22">
        <v>0</v>
      </c>
      <c r="S215" s="22">
        <f t="shared" si="91"/>
        <v>13846</v>
      </c>
      <c r="T215" s="22">
        <v>0</v>
      </c>
      <c r="U215" s="22">
        <v>0</v>
      </c>
      <c r="V215" s="22">
        <v>0</v>
      </c>
      <c r="W215" s="22">
        <f t="shared" si="84"/>
        <v>13846</v>
      </c>
      <c r="X215" s="22">
        <v>0</v>
      </c>
      <c r="Y215" s="23">
        <v>0</v>
      </c>
      <c r="Z215" s="140">
        <f t="shared" si="64"/>
        <v>13846</v>
      </c>
      <c r="AA215" s="140">
        <v>0</v>
      </c>
      <c r="AB215" s="140">
        <f>-2000</f>
        <v>-2000</v>
      </c>
      <c r="AC215" s="140">
        <v>0</v>
      </c>
      <c r="AD215" s="127">
        <f t="shared" si="77"/>
        <v>11846</v>
      </c>
    </row>
    <row r="216" spans="1:30" ht="15" customHeight="1" x14ac:dyDescent="0.25">
      <c r="A216" s="20" t="s">
        <v>253</v>
      </c>
      <c r="B216" s="68" t="s">
        <v>94</v>
      </c>
      <c r="C216" s="22"/>
      <c r="D216" s="22"/>
      <c r="E216" s="22"/>
      <c r="F216" s="22"/>
      <c r="G216" s="22"/>
      <c r="H216" s="22"/>
      <c r="I216" s="22"/>
      <c r="J216" s="22"/>
      <c r="K216" s="22"/>
      <c r="L216" s="73">
        <v>0</v>
      </c>
      <c r="M216" s="22"/>
      <c r="N216" s="22"/>
      <c r="O216" s="22"/>
      <c r="P216" s="22">
        <v>0</v>
      </c>
      <c r="Q216" s="22">
        <v>0</v>
      </c>
      <c r="R216" s="22">
        <f>5161</f>
        <v>5161</v>
      </c>
      <c r="S216" s="22">
        <f>SUM(P216:R216)</f>
        <v>5161</v>
      </c>
      <c r="T216" s="22">
        <v>0</v>
      </c>
      <c r="U216" s="22">
        <v>0</v>
      </c>
      <c r="V216" s="22">
        <v>0</v>
      </c>
      <c r="W216" s="22">
        <f t="shared" si="84"/>
        <v>5161</v>
      </c>
      <c r="X216" s="22">
        <v>0</v>
      </c>
      <c r="Y216" s="23">
        <f>195</f>
        <v>195</v>
      </c>
      <c r="Z216" s="140">
        <f t="shared" si="64"/>
        <v>5356</v>
      </c>
      <c r="AA216" s="140">
        <v>0</v>
      </c>
      <c r="AB216" s="140">
        <v>0</v>
      </c>
      <c r="AC216" s="140">
        <v>0</v>
      </c>
      <c r="AD216" s="127">
        <f t="shared" si="77"/>
        <v>5356</v>
      </c>
    </row>
    <row r="217" spans="1:30" ht="15" customHeight="1" x14ac:dyDescent="0.25">
      <c r="A217" s="20" t="s">
        <v>254</v>
      </c>
      <c r="B217" s="68" t="s">
        <v>94</v>
      </c>
      <c r="C217" s="22"/>
      <c r="D217" s="22"/>
      <c r="E217" s="22"/>
      <c r="F217" s="22"/>
      <c r="G217" s="22"/>
      <c r="H217" s="22"/>
      <c r="I217" s="22"/>
      <c r="J217" s="22"/>
      <c r="K217" s="22"/>
      <c r="L217" s="73">
        <v>0</v>
      </c>
      <c r="M217" s="22"/>
      <c r="N217" s="22"/>
      <c r="O217" s="22"/>
      <c r="P217" s="22">
        <v>0</v>
      </c>
      <c r="Q217" s="22">
        <v>0</v>
      </c>
      <c r="R217" s="22">
        <f>300</f>
        <v>300</v>
      </c>
      <c r="S217" s="22">
        <f>SUM(P217:R217)</f>
        <v>300</v>
      </c>
      <c r="T217" s="22">
        <v>0</v>
      </c>
      <c r="U217" s="22">
        <v>0</v>
      </c>
      <c r="V217" s="22">
        <v>0</v>
      </c>
      <c r="W217" s="22">
        <f t="shared" si="84"/>
        <v>300</v>
      </c>
      <c r="X217" s="22">
        <v>0</v>
      </c>
      <c r="Y217" s="23">
        <v>0</v>
      </c>
      <c r="Z217" s="140">
        <f t="shared" si="64"/>
        <v>300</v>
      </c>
      <c r="AA217" s="140">
        <v>0</v>
      </c>
      <c r="AB217" s="140">
        <v>0</v>
      </c>
      <c r="AC217" s="140">
        <v>0</v>
      </c>
      <c r="AD217" s="127">
        <f t="shared" si="77"/>
        <v>300</v>
      </c>
    </row>
    <row r="218" spans="1:30" ht="15" customHeight="1" x14ac:dyDescent="0.25">
      <c r="A218" s="69" t="s">
        <v>255</v>
      </c>
      <c r="B218" s="68" t="s">
        <v>94</v>
      </c>
      <c r="C218" s="22">
        <v>9000</v>
      </c>
      <c r="D218" s="22">
        <v>0</v>
      </c>
      <c r="E218" s="22">
        <f t="shared" si="86"/>
        <v>9000</v>
      </c>
      <c r="F218" s="22">
        <v>0</v>
      </c>
      <c r="G218" s="22">
        <v>0</v>
      </c>
      <c r="H218" s="22">
        <f t="shared" si="87"/>
        <v>9000</v>
      </c>
      <c r="I218" s="22">
        <v>0</v>
      </c>
      <c r="J218" s="22">
        <v>0</v>
      </c>
      <c r="K218" s="22">
        <f t="shared" si="66"/>
        <v>9000</v>
      </c>
      <c r="L218" s="73">
        <v>6503</v>
      </c>
      <c r="M218" s="22">
        <f t="shared" si="88"/>
        <v>-2497</v>
      </c>
      <c r="N218" s="22">
        <f t="shared" si="89"/>
        <v>0.72255555555555551</v>
      </c>
      <c r="O218" s="22">
        <v>0</v>
      </c>
      <c r="P218" s="22">
        <f t="shared" si="90"/>
        <v>6503</v>
      </c>
      <c r="Q218" s="22">
        <v>0</v>
      </c>
      <c r="R218" s="22">
        <v>0</v>
      </c>
      <c r="S218" s="22">
        <f t="shared" si="91"/>
        <v>6503</v>
      </c>
      <c r="T218" s="22">
        <v>0</v>
      </c>
      <c r="U218" s="22">
        <v>0</v>
      </c>
      <c r="V218" s="22">
        <v>0</v>
      </c>
      <c r="W218" s="22">
        <f t="shared" si="84"/>
        <v>6503</v>
      </c>
      <c r="X218" s="22">
        <f>-30</f>
        <v>-30</v>
      </c>
      <c r="Y218" s="23">
        <v>0</v>
      </c>
      <c r="Z218" s="140">
        <f t="shared" si="64"/>
        <v>6473</v>
      </c>
      <c r="AA218" s="140">
        <v>0</v>
      </c>
      <c r="AB218" s="140">
        <f>-1050</f>
        <v>-1050</v>
      </c>
      <c r="AC218" s="140">
        <v>0</v>
      </c>
      <c r="AD218" s="127">
        <f t="shared" si="77"/>
        <v>5423</v>
      </c>
    </row>
    <row r="219" spans="1:30" ht="60.75" customHeight="1" x14ac:dyDescent="0.25">
      <c r="A219" s="20" t="s">
        <v>256</v>
      </c>
      <c r="B219" s="68" t="s">
        <v>94</v>
      </c>
      <c r="C219" s="22">
        <v>14000</v>
      </c>
      <c r="D219" s="22">
        <v>0</v>
      </c>
      <c r="E219" s="22">
        <f t="shared" si="86"/>
        <v>14000</v>
      </c>
      <c r="F219" s="22">
        <v>1630</v>
      </c>
      <c r="G219" s="22">
        <v>0</v>
      </c>
      <c r="H219" s="22">
        <f t="shared" si="87"/>
        <v>15630</v>
      </c>
      <c r="I219" s="22">
        <v>0</v>
      </c>
      <c r="J219" s="22">
        <v>0</v>
      </c>
      <c r="K219" s="22">
        <f t="shared" si="66"/>
        <v>15630</v>
      </c>
      <c r="L219" s="73">
        <v>21235</v>
      </c>
      <c r="M219" s="22">
        <f t="shared" si="88"/>
        <v>5605</v>
      </c>
      <c r="N219" s="22">
        <f t="shared" si="89"/>
        <v>1.3586052463211773</v>
      </c>
      <c r="O219" s="22">
        <v>0</v>
      </c>
      <c r="P219" s="22">
        <f t="shared" si="90"/>
        <v>21235</v>
      </c>
      <c r="Q219" s="22">
        <v>0</v>
      </c>
      <c r="R219" s="22">
        <v>0</v>
      </c>
      <c r="S219" s="22">
        <f t="shared" si="91"/>
        <v>21235</v>
      </c>
      <c r="T219" s="22">
        <v>0</v>
      </c>
      <c r="U219" s="22">
        <v>0</v>
      </c>
      <c r="V219" s="22">
        <v>0</v>
      </c>
      <c r="W219" s="22">
        <f t="shared" si="84"/>
        <v>21235</v>
      </c>
      <c r="X219" s="22">
        <v>0</v>
      </c>
      <c r="Y219" s="23">
        <v>0</v>
      </c>
      <c r="Z219" s="140">
        <f t="shared" si="64"/>
        <v>21235</v>
      </c>
      <c r="AA219" s="140">
        <v>0</v>
      </c>
      <c r="AB219" s="140">
        <f>-3305</f>
        <v>-3305</v>
      </c>
      <c r="AC219" s="140">
        <v>0</v>
      </c>
      <c r="AD219" s="127">
        <f t="shared" si="77"/>
        <v>17930</v>
      </c>
    </row>
    <row r="220" spans="1:30" ht="24.75" customHeight="1" x14ac:dyDescent="0.25">
      <c r="A220" s="20" t="s">
        <v>257</v>
      </c>
      <c r="B220" s="68" t="s">
        <v>94</v>
      </c>
      <c r="C220" s="22"/>
      <c r="D220" s="22"/>
      <c r="E220" s="22"/>
      <c r="F220" s="22"/>
      <c r="G220" s="22"/>
      <c r="H220" s="22"/>
      <c r="I220" s="22"/>
      <c r="J220" s="22"/>
      <c r="K220" s="22"/>
      <c r="L220" s="73">
        <v>0</v>
      </c>
      <c r="M220" s="22"/>
      <c r="N220" s="22"/>
      <c r="O220" s="22"/>
      <c r="P220" s="22">
        <v>0</v>
      </c>
      <c r="Q220" s="22">
        <v>0</v>
      </c>
      <c r="R220" s="22">
        <f>26762</f>
        <v>26762</v>
      </c>
      <c r="S220" s="22">
        <f>SUM(P220:R220)</f>
        <v>26762</v>
      </c>
      <c r="T220" s="22">
        <v>0</v>
      </c>
      <c r="U220" s="22">
        <v>0</v>
      </c>
      <c r="V220" s="22">
        <v>0</v>
      </c>
      <c r="W220" s="22">
        <f t="shared" si="84"/>
        <v>26762</v>
      </c>
      <c r="X220" s="22">
        <v>0</v>
      </c>
      <c r="Y220" s="23">
        <f>2676</f>
        <v>2676</v>
      </c>
      <c r="Z220" s="140">
        <f t="shared" si="64"/>
        <v>29438</v>
      </c>
      <c r="AA220" s="140">
        <v>0</v>
      </c>
      <c r="AB220" s="140">
        <v>0</v>
      </c>
      <c r="AC220" s="140">
        <v>0</v>
      </c>
      <c r="AD220" s="127">
        <f t="shared" si="77"/>
        <v>29438</v>
      </c>
    </row>
    <row r="221" spans="1:30" ht="70.5" customHeight="1" x14ac:dyDescent="0.25">
      <c r="A221" s="20" t="s">
        <v>258</v>
      </c>
      <c r="B221" s="68" t="s">
        <v>94</v>
      </c>
      <c r="C221" s="22">
        <v>13200</v>
      </c>
      <c r="D221" s="22">
        <v>0</v>
      </c>
      <c r="E221" s="22">
        <f t="shared" si="86"/>
        <v>13200</v>
      </c>
      <c r="F221" s="22">
        <v>610</v>
      </c>
      <c r="G221" s="22">
        <v>0</v>
      </c>
      <c r="H221" s="22">
        <f t="shared" si="87"/>
        <v>13810</v>
      </c>
      <c r="I221" s="22">
        <v>0</v>
      </c>
      <c r="J221" s="22">
        <v>0</v>
      </c>
      <c r="K221" s="22">
        <f t="shared" si="66"/>
        <v>13810</v>
      </c>
      <c r="L221" s="73">
        <v>15500</v>
      </c>
      <c r="M221" s="22">
        <f t="shared" si="88"/>
        <v>1690</v>
      </c>
      <c r="N221" s="22">
        <f t="shared" si="89"/>
        <v>1.1223750905141201</v>
      </c>
      <c r="O221" s="22">
        <v>0</v>
      </c>
      <c r="P221" s="22">
        <f t="shared" si="90"/>
        <v>15500</v>
      </c>
      <c r="Q221" s="22">
        <v>7500</v>
      </c>
      <c r="R221" s="22">
        <v>0</v>
      </c>
      <c r="S221" s="22">
        <f t="shared" si="91"/>
        <v>23000</v>
      </c>
      <c r="T221" s="22">
        <v>0</v>
      </c>
      <c r="U221" s="22">
        <v>0</v>
      </c>
      <c r="V221" s="22">
        <v>0</v>
      </c>
      <c r="W221" s="22">
        <f t="shared" si="84"/>
        <v>23000</v>
      </c>
      <c r="X221" s="22">
        <f>4260</f>
        <v>4260</v>
      </c>
      <c r="Y221" s="23">
        <v>0</v>
      </c>
      <c r="Z221" s="140">
        <f t="shared" si="64"/>
        <v>27260</v>
      </c>
      <c r="AA221" s="140">
        <v>0</v>
      </c>
      <c r="AB221" s="140">
        <v>0</v>
      </c>
      <c r="AC221" s="140">
        <v>0</v>
      </c>
      <c r="AD221" s="127">
        <f t="shared" si="77"/>
        <v>27260</v>
      </c>
    </row>
    <row r="222" spans="1:30" ht="25.5" customHeight="1" x14ac:dyDescent="0.25">
      <c r="A222" s="20" t="s">
        <v>419</v>
      </c>
      <c r="B222" s="68" t="s">
        <v>94</v>
      </c>
      <c r="C222" s="22"/>
      <c r="D222" s="22"/>
      <c r="E222" s="22"/>
      <c r="F222" s="22"/>
      <c r="G222" s="22"/>
      <c r="H222" s="22"/>
      <c r="I222" s="22"/>
      <c r="J222" s="22"/>
      <c r="K222" s="22"/>
      <c r="L222" s="73">
        <v>0</v>
      </c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>
        <v>0</v>
      </c>
      <c r="X222" s="22">
        <v>0</v>
      </c>
      <c r="Y222" s="23">
        <f>15687</f>
        <v>15687</v>
      </c>
      <c r="Z222" s="140">
        <f>SUM(W222:Y222)</f>
        <v>15687</v>
      </c>
      <c r="AA222" s="140">
        <v>0</v>
      </c>
      <c r="AB222" s="140">
        <v>0</v>
      </c>
      <c r="AC222" s="140">
        <v>0</v>
      </c>
      <c r="AD222" s="127">
        <f t="shared" si="77"/>
        <v>15687</v>
      </c>
    </row>
    <row r="223" spans="1:30" ht="63" customHeight="1" x14ac:dyDescent="0.25">
      <c r="A223" s="20" t="s">
        <v>259</v>
      </c>
      <c r="B223" s="68" t="s">
        <v>94</v>
      </c>
      <c r="C223" s="22">
        <v>10180</v>
      </c>
      <c r="D223" s="22">
        <v>0</v>
      </c>
      <c r="E223" s="22">
        <f t="shared" si="86"/>
        <v>10180</v>
      </c>
      <c r="F223" s="22">
        <v>330</v>
      </c>
      <c r="G223" s="22">
        <v>0</v>
      </c>
      <c r="H223" s="22">
        <f t="shared" si="87"/>
        <v>10510</v>
      </c>
      <c r="I223" s="22">
        <v>0</v>
      </c>
      <c r="J223" s="22">
        <v>0</v>
      </c>
      <c r="K223" s="22">
        <f t="shared" si="66"/>
        <v>10510</v>
      </c>
      <c r="L223" s="73">
        <v>11530</v>
      </c>
      <c r="M223" s="22">
        <f t="shared" si="88"/>
        <v>1020</v>
      </c>
      <c r="N223" s="22">
        <f t="shared" si="89"/>
        <v>1.0970504281636537</v>
      </c>
      <c r="O223" s="22">
        <v>0</v>
      </c>
      <c r="P223" s="22">
        <f t="shared" si="90"/>
        <v>11530</v>
      </c>
      <c r="Q223" s="22">
        <v>0</v>
      </c>
      <c r="R223" s="22">
        <v>0</v>
      </c>
      <c r="S223" s="22">
        <f t="shared" si="91"/>
        <v>11530</v>
      </c>
      <c r="T223" s="22">
        <v>0</v>
      </c>
      <c r="U223" s="22">
        <v>0</v>
      </c>
      <c r="V223" s="22">
        <v>0</v>
      </c>
      <c r="W223" s="22">
        <f t="shared" si="84"/>
        <v>11530</v>
      </c>
      <c r="X223" s="22">
        <v>0</v>
      </c>
      <c r="Y223" s="23">
        <v>0</v>
      </c>
      <c r="Z223" s="140">
        <f t="shared" si="64"/>
        <v>11530</v>
      </c>
      <c r="AA223" s="140">
        <v>0</v>
      </c>
      <c r="AB223" s="140">
        <v>0</v>
      </c>
      <c r="AC223" s="140">
        <v>0</v>
      </c>
      <c r="AD223" s="127">
        <f t="shared" si="77"/>
        <v>11530</v>
      </c>
    </row>
    <row r="224" spans="1:30" ht="28.5" customHeight="1" x14ac:dyDescent="0.25">
      <c r="A224" s="20" t="s">
        <v>260</v>
      </c>
      <c r="B224" s="68" t="s">
        <v>94</v>
      </c>
      <c r="C224" s="22"/>
      <c r="D224" s="22"/>
      <c r="E224" s="22"/>
      <c r="F224" s="22"/>
      <c r="G224" s="22"/>
      <c r="H224" s="22"/>
      <c r="I224" s="22"/>
      <c r="J224" s="22"/>
      <c r="K224" s="22"/>
      <c r="L224" s="73">
        <v>0</v>
      </c>
      <c r="M224" s="22"/>
      <c r="N224" s="22"/>
      <c r="O224" s="22"/>
      <c r="P224" s="22">
        <v>0</v>
      </c>
      <c r="Q224" s="22">
        <v>0</v>
      </c>
      <c r="R224" s="22">
        <f>5644</f>
        <v>5644</v>
      </c>
      <c r="S224" s="22">
        <f>SUM(P224:R224)</f>
        <v>5644</v>
      </c>
      <c r="T224" s="22">
        <v>0</v>
      </c>
      <c r="U224" s="22">
        <v>0</v>
      </c>
      <c r="V224" s="22">
        <v>0</v>
      </c>
      <c r="W224" s="22">
        <f t="shared" si="84"/>
        <v>5644</v>
      </c>
      <c r="X224" s="22">
        <v>0</v>
      </c>
      <c r="Y224" s="23">
        <f>188</f>
        <v>188</v>
      </c>
      <c r="Z224" s="140">
        <f t="shared" si="64"/>
        <v>5832</v>
      </c>
      <c r="AA224" s="140">
        <v>0</v>
      </c>
      <c r="AB224" s="140">
        <v>0</v>
      </c>
      <c r="AC224" s="140">
        <v>0</v>
      </c>
      <c r="AD224" s="127">
        <f t="shared" si="77"/>
        <v>5832</v>
      </c>
    </row>
    <row r="225" spans="1:30" ht="72.75" customHeight="1" x14ac:dyDescent="0.25">
      <c r="A225" s="20" t="s">
        <v>261</v>
      </c>
      <c r="B225" s="68" t="s">
        <v>94</v>
      </c>
      <c r="C225" s="22">
        <v>9900</v>
      </c>
      <c r="D225" s="22">
        <v>0</v>
      </c>
      <c r="E225" s="22">
        <f t="shared" si="86"/>
        <v>9900</v>
      </c>
      <c r="F225" s="22">
        <v>330</v>
      </c>
      <c r="G225" s="22">
        <v>0</v>
      </c>
      <c r="H225" s="22">
        <f t="shared" si="87"/>
        <v>10230</v>
      </c>
      <c r="I225" s="22">
        <v>0</v>
      </c>
      <c r="J225" s="22">
        <v>0</v>
      </c>
      <c r="K225" s="22">
        <f t="shared" si="66"/>
        <v>10230</v>
      </c>
      <c r="L225" s="73">
        <v>10600</v>
      </c>
      <c r="M225" s="22">
        <f t="shared" si="88"/>
        <v>370</v>
      </c>
      <c r="N225" s="22">
        <f t="shared" si="89"/>
        <v>1.0361681329423265</v>
      </c>
      <c r="O225" s="22">
        <v>0</v>
      </c>
      <c r="P225" s="22">
        <f t="shared" si="90"/>
        <v>10600</v>
      </c>
      <c r="Q225" s="22">
        <v>0</v>
      </c>
      <c r="R225" s="22">
        <v>0</v>
      </c>
      <c r="S225" s="22">
        <f t="shared" si="91"/>
        <v>10600</v>
      </c>
      <c r="T225" s="22">
        <v>0</v>
      </c>
      <c r="U225" s="22">
        <v>0</v>
      </c>
      <c r="V225" s="22">
        <v>0</v>
      </c>
      <c r="W225" s="22">
        <f t="shared" si="84"/>
        <v>10600</v>
      </c>
      <c r="X225" s="22">
        <v>0</v>
      </c>
      <c r="Y225" s="23">
        <v>0</v>
      </c>
      <c r="Z225" s="140">
        <f t="shared" si="64"/>
        <v>10600</v>
      </c>
      <c r="AA225" s="140">
        <v>0</v>
      </c>
      <c r="AB225" s="140">
        <v>0</v>
      </c>
      <c r="AC225" s="140">
        <v>0</v>
      </c>
      <c r="AD225" s="127">
        <f t="shared" si="77"/>
        <v>10600</v>
      </c>
    </row>
    <row r="226" spans="1:30" ht="33" customHeight="1" x14ac:dyDescent="0.25">
      <c r="A226" s="20" t="s">
        <v>262</v>
      </c>
      <c r="B226" s="68" t="s">
        <v>94</v>
      </c>
      <c r="C226" s="22"/>
      <c r="D226" s="22"/>
      <c r="E226" s="22"/>
      <c r="F226" s="22"/>
      <c r="G226" s="22"/>
      <c r="H226" s="22"/>
      <c r="I226" s="22"/>
      <c r="J226" s="22"/>
      <c r="K226" s="22"/>
      <c r="L226" s="73">
        <v>0</v>
      </c>
      <c r="M226" s="22"/>
      <c r="N226" s="22"/>
      <c r="O226" s="22"/>
      <c r="P226" s="22">
        <v>0</v>
      </c>
      <c r="Q226" s="22">
        <v>0</v>
      </c>
      <c r="R226" s="22">
        <f>6603</f>
        <v>6603</v>
      </c>
      <c r="S226" s="22">
        <f>SUM(P226:R226)</f>
        <v>6603</v>
      </c>
      <c r="T226" s="22">
        <v>0</v>
      </c>
      <c r="U226" s="22">
        <v>0</v>
      </c>
      <c r="V226" s="22">
        <v>0</v>
      </c>
      <c r="W226" s="22">
        <f t="shared" si="84"/>
        <v>6603</v>
      </c>
      <c r="X226" s="22">
        <v>0</v>
      </c>
      <c r="Y226" s="23">
        <f>28</f>
        <v>28</v>
      </c>
      <c r="Z226" s="140">
        <f>SUM(W226:Y226)</f>
        <v>6631</v>
      </c>
      <c r="AA226" s="140">
        <v>0</v>
      </c>
      <c r="AB226" s="140">
        <v>0</v>
      </c>
      <c r="AC226" s="140">
        <v>0</v>
      </c>
      <c r="AD226" s="127">
        <f t="shared" si="77"/>
        <v>6631</v>
      </c>
    </row>
    <row r="227" spans="1:30" ht="24" customHeight="1" x14ac:dyDescent="0.25">
      <c r="A227" s="20" t="s">
        <v>263</v>
      </c>
      <c r="B227" s="68" t="s">
        <v>94</v>
      </c>
      <c r="C227" s="22"/>
      <c r="D227" s="22"/>
      <c r="E227" s="22"/>
      <c r="F227" s="22"/>
      <c r="G227" s="22"/>
      <c r="H227" s="22"/>
      <c r="I227" s="22"/>
      <c r="J227" s="22"/>
      <c r="K227" s="22"/>
      <c r="L227" s="73">
        <v>0</v>
      </c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>
        <v>0</v>
      </c>
      <c r="X227" s="22">
        <v>0</v>
      </c>
      <c r="Y227" s="23">
        <f>50</f>
        <v>50</v>
      </c>
      <c r="Z227" s="140">
        <f>SUM(W227:Y227)</f>
        <v>50</v>
      </c>
      <c r="AA227" s="140">
        <v>0</v>
      </c>
      <c r="AB227" s="140">
        <v>0</v>
      </c>
      <c r="AC227" s="140">
        <v>0</v>
      </c>
      <c r="AD227" s="127">
        <f t="shared" si="77"/>
        <v>50</v>
      </c>
    </row>
    <row r="228" spans="1:30" ht="25.5" customHeight="1" x14ac:dyDescent="0.25">
      <c r="A228" s="20" t="s">
        <v>264</v>
      </c>
      <c r="B228" s="68"/>
      <c r="C228" s="22">
        <v>4.29</v>
      </c>
      <c r="D228" s="22">
        <v>0</v>
      </c>
      <c r="E228" s="22">
        <f t="shared" si="86"/>
        <v>4.29</v>
      </c>
      <c r="F228" s="22">
        <v>0</v>
      </c>
      <c r="G228" s="22">
        <v>0</v>
      </c>
      <c r="H228" s="22">
        <f t="shared" si="87"/>
        <v>4.29</v>
      </c>
      <c r="I228" s="22">
        <v>0</v>
      </c>
      <c r="J228" s="22">
        <v>0</v>
      </c>
      <c r="K228" s="22">
        <f t="shared" si="66"/>
        <v>4.29</v>
      </c>
      <c r="L228" s="73">
        <v>4.29</v>
      </c>
      <c r="M228" s="22">
        <f t="shared" si="88"/>
        <v>0</v>
      </c>
      <c r="N228" s="22">
        <f t="shared" si="89"/>
        <v>1</v>
      </c>
      <c r="O228" s="22">
        <v>0</v>
      </c>
      <c r="P228" s="22">
        <f t="shared" si="90"/>
        <v>4.29</v>
      </c>
      <c r="Q228" s="22">
        <v>0</v>
      </c>
      <c r="R228" s="22">
        <v>0</v>
      </c>
      <c r="S228" s="22">
        <f t="shared" si="91"/>
        <v>4.29</v>
      </c>
      <c r="T228" s="22">
        <v>0</v>
      </c>
      <c r="U228" s="22">
        <v>0</v>
      </c>
      <c r="V228" s="22">
        <v>0</v>
      </c>
      <c r="W228" s="22">
        <f t="shared" si="84"/>
        <v>4.29</v>
      </c>
      <c r="X228" s="22">
        <v>0</v>
      </c>
      <c r="Y228" s="23">
        <v>0</v>
      </c>
      <c r="Z228" s="140">
        <f t="shared" si="64"/>
        <v>4.29</v>
      </c>
      <c r="AA228" s="140">
        <v>0</v>
      </c>
      <c r="AB228" s="140">
        <v>0</v>
      </c>
      <c r="AC228" s="140">
        <v>0</v>
      </c>
      <c r="AD228" s="127">
        <f t="shared" si="77"/>
        <v>4.29</v>
      </c>
    </row>
    <row r="229" spans="1:30" ht="15" customHeight="1" x14ac:dyDescent="0.25">
      <c r="A229" s="20" t="s">
        <v>265</v>
      </c>
      <c r="B229" s="68" t="s">
        <v>73</v>
      </c>
      <c r="C229" s="22">
        <v>20</v>
      </c>
      <c r="D229" s="22">
        <v>0</v>
      </c>
      <c r="E229" s="22">
        <f t="shared" si="86"/>
        <v>20</v>
      </c>
      <c r="F229" s="22">
        <v>0</v>
      </c>
      <c r="G229" s="22">
        <v>0</v>
      </c>
      <c r="H229" s="22">
        <f t="shared" si="87"/>
        <v>20</v>
      </c>
      <c r="I229" s="22">
        <v>0</v>
      </c>
      <c r="J229" s="22">
        <v>0</v>
      </c>
      <c r="K229" s="22">
        <f t="shared" si="66"/>
        <v>20</v>
      </c>
      <c r="L229" s="73">
        <v>20</v>
      </c>
      <c r="M229" s="22">
        <f t="shared" si="88"/>
        <v>0</v>
      </c>
      <c r="N229" s="22">
        <f t="shared" si="89"/>
        <v>1</v>
      </c>
      <c r="O229" s="22">
        <v>0</v>
      </c>
      <c r="P229" s="22">
        <f t="shared" si="90"/>
        <v>20</v>
      </c>
      <c r="Q229" s="22">
        <v>0</v>
      </c>
      <c r="R229" s="22">
        <v>0</v>
      </c>
      <c r="S229" s="22">
        <f t="shared" si="91"/>
        <v>20</v>
      </c>
      <c r="T229" s="22">
        <v>0</v>
      </c>
      <c r="U229" s="22">
        <v>0</v>
      </c>
      <c r="V229" s="22">
        <v>0</v>
      </c>
      <c r="W229" s="22">
        <f t="shared" si="84"/>
        <v>20</v>
      </c>
      <c r="X229" s="22">
        <v>0</v>
      </c>
      <c r="Y229" s="23">
        <v>0</v>
      </c>
      <c r="Z229" s="140">
        <f t="shared" si="64"/>
        <v>20</v>
      </c>
      <c r="AA229" s="140">
        <v>0</v>
      </c>
      <c r="AB229" s="140">
        <v>0</v>
      </c>
      <c r="AC229" s="140">
        <v>0</v>
      </c>
      <c r="AD229" s="127">
        <f t="shared" si="77"/>
        <v>20</v>
      </c>
    </row>
    <row r="230" spans="1:30" ht="24.75" customHeight="1" x14ac:dyDescent="0.25">
      <c r="A230" s="20" t="s">
        <v>266</v>
      </c>
      <c r="B230" s="68" t="s">
        <v>73</v>
      </c>
      <c r="C230" s="22">
        <v>20</v>
      </c>
      <c r="D230" s="22">
        <v>0</v>
      </c>
      <c r="E230" s="22">
        <f t="shared" si="86"/>
        <v>20</v>
      </c>
      <c r="F230" s="22">
        <v>0</v>
      </c>
      <c r="G230" s="22">
        <v>0</v>
      </c>
      <c r="H230" s="22">
        <f t="shared" si="87"/>
        <v>20</v>
      </c>
      <c r="I230" s="22">
        <v>0</v>
      </c>
      <c r="J230" s="22">
        <v>0</v>
      </c>
      <c r="K230" s="22">
        <f t="shared" si="66"/>
        <v>20</v>
      </c>
      <c r="L230" s="73">
        <v>20</v>
      </c>
      <c r="M230" s="22">
        <f t="shared" si="88"/>
        <v>0</v>
      </c>
      <c r="N230" s="22">
        <f t="shared" si="89"/>
        <v>1</v>
      </c>
      <c r="O230" s="22">
        <v>0</v>
      </c>
      <c r="P230" s="22">
        <f t="shared" si="90"/>
        <v>20</v>
      </c>
      <c r="Q230" s="22">
        <v>0</v>
      </c>
      <c r="R230" s="22">
        <v>0</v>
      </c>
      <c r="S230" s="22">
        <f t="shared" si="91"/>
        <v>20</v>
      </c>
      <c r="T230" s="22">
        <v>0</v>
      </c>
      <c r="U230" s="22">
        <v>0</v>
      </c>
      <c r="V230" s="22">
        <v>0</v>
      </c>
      <c r="W230" s="22">
        <f t="shared" si="84"/>
        <v>20</v>
      </c>
      <c r="X230" s="22">
        <v>0</v>
      </c>
      <c r="Y230" s="23">
        <v>0</v>
      </c>
      <c r="Z230" s="140">
        <f t="shared" si="64"/>
        <v>20</v>
      </c>
      <c r="AA230" s="140">
        <v>0</v>
      </c>
      <c r="AB230" s="140">
        <v>0</v>
      </c>
      <c r="AC230" s="140">
        <v>0</v>
      </c>
      <c r="AD230" s="127">
        <f t="shared" si="77"/>
        <v>20</v>
      </c>
    </row>
    <row r="231" spans="1:30" ht="15" customHeight="1" x14ac:dyDescent="0.25">
      <c r="A231" s="69" t="s">
        <v>267</v>
      </c>
      <c r="B231" s="68" t="s">
        <v>73</v>
      </c>
      <c r="C231" s="22">
        <v>70</v>
      </c>
      <c r="D231" s="22">
        <v>0</v>
      </c>
      <c r="E231" s="22">
        <f t="shared" si="86"/>
        <v>70</v>
      </c>
      <c r="F231" s="22">
        <v>0</v>
      </c>
      <c r="G231" s="22">
        <v>0</v>
      </c>
      <c r="H231" s="22">
        <f t="shared" si="87"/>
        <v>70</v>
      </c>
      <c r="I231" s="22">
        <v>0</v>
      </c>
      <c r="J231" s="22">
        <v>0</v>
      </c>
      <c r="K231" s="22">
        <f t="shared" si="66"/>
        <v>70</v>
      </c>
      <c r="L231" s="73">
        <v>100</v>
      </c>
      <c r="M231" s="22">
        <f t="shared" si="88"/>
        <v>30</v>
      </c>
      <c r="N231" s="22">
        <f t="shared" si="89"/>
        <v>1.4285714285714286</v>
      </c>
      <c r="O231" s="22">
        <v>0</v>
      </c>
      <c r="P231" s="22">
        <f t="shared" si="90"/>
        <v>100</v>
      </c>
      <c r="Q231" s="22">
        <v>0</v>
      </c>
      <c r="R231" s="22">
        <v>0</v>
      </c>
      <c r="S231" s="22">
        <f t="shared" si="91"/>
        <v>100</v>
      </c>
      <c r="T231" s="22">
        <v>0</v>
      </c>
      <c r="U231" s="22">
        <v>0</v>
      </c>
      <c r="V231" s="22">
        <v>0</v>
      </c>
      <c r="W231" s="22">
        <f t="shared" si="84"/>
        <v>100</v>
      </c>
      <c r="X231" s="22">
        <v>0</v>
      </c>
      <c r="Y231" s="23">
        <v>0</v>
      </c>
      <c r="Z231" s="140">
        <f t="shared" ref="Z231:Z294" si="92">SUM(W231:Y231)</f>
        <v>100</v>
      </c>
      <c r="AA231" s="140">
        <v>0</v>
      </c>
      <c r="AB231" s="140">
        <v>0</v>
      </c>
      <c r="AC231" s="140">
        <v>0</v>
      </c>
      <c r="AD231" s="127">
        <f t="shared" si="77"/>
        <v>100</v>
      </c>
    </row>
    <row r="232" spans="1:30" ht="15" customHeight="1" x14ac:dyDescent="0.25">
      <c r="A232" s="69" t="s">
        <v>268</v>
      </c>
      <c r="B232" s="68" t="s">
        <v>94</v>
      </c>
      <c r="C232" s="22">
        <v>0</v>
      </c>
      <c r="D232" s="22"/>
      <c r="E232" s="22"/>
      <c r="F232" s="22"/>
      <c r="G232" s="22"/>
      <c r="H232" s="22"/>
      <c r="I232" s="22"/>
      <c r="J232" s="22"/>
      <c r="K232" s="22">
        <v>0</v>
      </c>
      <c r="L232" s="73">
        <v>1050</v>
      </c>
      <c r="M232" s="22">
        <f>L232-K232</f>
        <v>1050</v>
      </c>
      <c r="N232" s="40" t="s">
        <v>46</v>
      </c>
      <c r="O232" s="40">
        <v>0</v>
      </c>
      <c r="P232" s="22">
        <f t="shared" si="90"/>
        <v>1050</v>
      </c>
      <c r="Q232" s="40">
        <v>0</v>
      </c>
      <c r="R232" s="40">
        <v>0</v>
      </c>
      <c r="S232" s="22">
        <f t="shared" si="91"/>
        <v>1050</v>
      </c>
      <c r="T232" s="22">
        <v>0</v>
      </c>
      <c r="U232" s="22">
        <v>0</v>
      </c>
      <c r="V232" s="22">
        <v>0</v>
      </c>
      <c r="W232" s="22">
        <f t="shared" si="84"/>
        <v>1050</v>
      </c>
      <c r="X232" s="22">
        <v>0</v>
      </c>
      <c r="Y232" s="23">
        <v>0</v>
      </c>
      <c r="Z232" s="140">
        <f t="shared" si="92"/>
        <v>1050</v>
      </c>
      <c r="AA232" s="140">
        <v>0</v>
      </c>
      <c r="AB232" s="140">
        <v>0</v>
      </c>
      <c r="AC232" s="140">
        <v>0</v>
      </c>
      <c r="AD232" s="127">
        <f t="shared" si="77"/>
        <v>1050</v>
      </c>
    </row>
    <row r="233" spans="1:30" ht="15" customHeight="1" x14ac:dyDescent="0.25">
      <c r="A233" s="69" t="s">
        <v>269</v>
      </c>
      <c r="B233" s="68" t="s">
        <v>94</v>
      </c>
      <c r="C233" s="22">
        <v>3700</v>
      </c>
      <c r="D233" s="22">
        <v>0</v>
      </c>
      <c r="E233" s="22">
        <f t="shared" si="86"/>
        <v>3700</v>
      </c>
      <c r="F233" s="22">
        <v>0</v>
      </c>
      <c r="G233" s="22">
        <v>0</v>
      </c>
      <c r="H233" s="22">
        <f t="shared" si="87"/>
        <v>3700</v>
      </c>
      <c r="I233" s="22">
        <v>0</v>
      </c>
      <c r="J233" s="22">
        <v>0</v>
      </c>
      <c r="K233" s="22">
        <f t="shared" si="66"/>
        <v>3700</v>
      </c>
      <c r="L233" s="73">
        <v>3850</v>
      </c>
      <c r="M233" s="22">
        <f t="shared" si="88"/>
        <v>150</v>
      </c>
      <c r="N233" s="22">
        <f t="shared" si="89"/>
        <v>1.0405405405405406</v>
      </c>
      <c r="O233" s="22">
        <v>0</v>
      </c>
      <c r="P233" s="22">
        <f t="shared" si="90"/>
        <v>3850</v>
      </c>
      <c r="Q233" s="22">
        <v>0</v>
      </c>
      <c r="R233" s="22">
        <v>0</v>
      </c>
      <c r="S233" s="22">
        <f t="shared" si="91"/>
        <v>3850</v>
      </c>
      <c r="T233" s="22">
        <v>0</v>
      </c>
      <c r="U233" s="22">
        <v>0</v>
      </c>
      <c r="V233" s="22">
        <v>0</v>
      </c>
      <c r="W233" s="22">
        <f t="shared" si="84"/>
        <v>3850</v>
      </c>
      <c r="X233" s="22">
        <v>0</v>
      </c>
      <c r="Y233" s="23">
        <v>0</v>
      </c>
      <c r="Z233" s="140">
        <f t="shared" si="92"/>
        <v>3850</v>
      </c>
      <c r="AA233" s="140">
        <v>0</v>
      </c>
      <c r="AB233" s="140">
        <v>0</v>
      </c>
      <c r="AC233" s="140">
        <v>0</v>
      </c>
      <c r="AD233" s="127">
        <f t="shared" si="77"/>
        <v>3850</v>
      </c>
    </row>
    <row r="234" spans="1:30" ht="15" customHeight="1" x14ac:dyDescent="0.25">
      <c r="A234" s="69" t="s">
        <v>270</v>
      </c>
      <c r="B234" s="68" t="s">
        <v>73</v>
      </c>
      <c r="C234" s="22">
        <v>80</v>
      </c>
      <c r="D234" s="22">
        <v>0</v>
      </c>
      <c r="E234" s="22">
        <f t="shared" si="86"/>
        <v>80</v>
      </c>
      <c r="F234" s="22">
        <v>0</v>
      </c>
      <c r="G234" s="22">
        <v>0</v>
      </c>
      <c r="H234" s="22">
        <f t="shared" si="87"/>
        <v>80</v>
      </c>
      <c r="I234" s="22">
        <v>0</v>
      </c>
      <c r="J234" s="22">
        <v>0</v>
      </c>
      <c r="K234" s="22">
        <f t="shared" si="66"/>
        <v>80</v>
      </c>
      <c r="L234" s="73">
        <v>80</v>
      </c>
      <c r="M234" s="22">
        <f t="shared" si="88"/>
        <v>0</v>
      </c>
      <c r="N234" s="22">
        <f t="shared" si="89"/>
        <v>1</v>
      </c>
      <c r="O234" s="22">
        <v>0</v>
      </c>
      <c r="P234" s="22">
        <f t="shared" si="90"/>
        <v>80</v>
      </c>
      <c r="Q234" s="22">
        <v>0</v>
      </c>
      <c r="R234" s="22">
        <v>0</v>
      </c>
      <c r="S234" s="22">
        <f t="shared" si="91"/>
        <v>80</v>
      </c>
      <c r="T234" s="22">
        <v>0</v>
      </c>
      <c r="U234" s="22">
        <v>0</v>
      </c>
      <c r="V234" s="22">
        <v>0</v>
      </c>
      <c r="W234" s="22">
        <f t="shared" si="84"/>
        <v>80</v>
      </c>
      <c r="X234" s="22">
        <v>0</v>
      </c>
      <c r="Y234" s="23">
        <v>0</v>
      </c>
      <c r="Z234" s="140">
        <f t="shared" si="92"/>
        <v>80</v>
      </c>
      <c r="AA234" s="140">
        <v>0</v>
      </c>
      <c r="AB234" s="140">
        <v>0</v>
      </c>
      <c r="AC234" s="140">
        <v>0</v>
      </c>
      <c r="AD234" s="127">
        <f t="shared" si="77"/>
        <v>80</v>
      </c>
    </row>
    <row r="235" spans="1:30" ht="15" customHeight="1" x14ac:dyDescent="0.25">
      <c r="A235" s="69" t="s">
        <v>271</v>
      </c>
      <c r="B235" s="68" t="s">
        <v>94</v>
      </c>
      <c r="C235" s="22">
        <v>50</v>
      </c>
      <c r="D235" s="22">
        <v>0</v>
      </c>
      <c r="E235" s="22">
        <f t="shared" si="86"/>
        <v>50</v>
      </c>
      <c r="F235" s="22">
        <v>0</v>
      </c>
      <c r="G235" s="22">
        <v>0</v>
      </c>
      <c r="H235" s="22">
        <f t="shared" si="87"/>
        <v>50</v>
      </c>
      <c r="I235" s="22">
        <v>0</v>
      </c>
      <c r="J235" s="22">
        <v>0</v>
      </c>
      <c r="K235" s="22">
        <f t="shared" si="66"/>
        <v>50</v>
      </c>
      <c r="L235" s="73">
        <v>50</v>
      </c>
      <c r="M235" s="22">
        <f t="shared" si="88"/>
        <v>0</v>
      </c>
      <c r="N235" s="22">
        <f t="shared" si="89"/>
        <v>1</v>
      </c>
      <c r="O235" s="22">
        <v>0</v>
      </c>
      <c r="P235" s="22">
        <f t="shared" si="90"/>
        <v>50</v>
      </c>
      <c r="Q235" s="22">
        <v>0</v>
      </c>
      <c r="R235" s="22">
        <v>0</v>
      </c>
      <c r="S235" s="22">
        <f t="shared" si="91"/>
        <v>50</v>
      </c>
      <c r="T235" s="22">
        <v>0</v>
      </c>
      <c r="U235" s="22">
        <v>0</v>
      </c>
      <c r="V235" s="22">
        <v>0</v>
      </c>
      <c r="W235" s="22">
        <f t="shared" si="84"/>
        <v>50</v>
      </c>
      <c r="X235" s="22">
        <v>0</v>
      </c>
      <c r="Y235" s="23">
        <v>0</v>
      </c>
      <c r="Z235" s="140">
        <f t="shared" si="92"/>
        <v>50</v>
      </c>
      <c r="AA235" s="140">
        <v>0</v>
      </c>
      <c r="AB235" s="140">
        <v>0</v>
      </c>
      <c r="AC235" s="140">
        <v>0</v>
      </c>
      <c r="AD235" s="127">
        <f t="shared" si="77"/>
        <v>50</v>
      </c>
    </row>
    <row r="236" spans="1:30" ht="15" customHeight="1" x14ac:dyDescent="0.25">
      <c r="A236" s="69" t="s">
        <v>272</v>
      </c>
      <c r="B236" s="68" t="s">
        <v>94</v>
      </c>
      <c r="C236" s="22">
        <v>80</v>
      </c>
      <c r="D236" s="22">
        <v>0</v>
      </c>
      <c r="E236" s="22">
        <f t="shared" si="86"/>
        <v>80</v>
      </c>
      <c r="F236" s="22">
        <v>0</v>
      </c>
      <c r="G236" s="22">
        <v>0</v>
      </c>
      <c r="H236" s="22">
        <f t="shared" si="87"/>
        <v>80</v>
      </c>
      <c r="I236" s="22">
        <v>0</v>
      </c>
      <c r="J236" s="22">
        <v>0</v>
      </c>
      <c r="K236" s="22">
        <f t="shared" si="66"/>
        <v>80</v>
      </c>
      <c r="L236" s="73">
        <v>100</v>
      </c>
      <c r="M236" s="22">
        <f t="shared" si="88"/>
        <v>20</v>
      </c>
      <c r="N236" s="22">
        <f t="shared" si="89"/>
        <v>1.25</v>
      </c>
      <c r="O236" s="22">
        <v>0</v>
      </c>
      <c r="P236" s="22">
        <f t="shared" si="90"/>
        <v>100</v>
      </c>
      <c r="Q236" s="22">
        <v>0</v>
      </c>
      <c r="R236" s="22">
        <v>0</v>
      </c>
      <c r="S236" s="22">
        <f t="shared" si="91"/>
        <v>100</v>
      </c>
      <c r="T236" s="22">
        <v>0</v>
      </c>
      <c r="U236" s="22">
        <v>0</v>
      </c>
      <c r="V236" s="22">
        <v>0</v>
      </c>
      <c r="W236" s="22">
        <f t="shared" si="84"/>
        <v>100</v>
      </c>
      <c r="X236" s="22">
        <v>0</v>
      </c>
      <c r="Y236" s="23">
        <v>0</v>
      </c>
      <c r="Z236" s="140">
        <f t="shared" si="92"/>
        <v>100</v>
      </c>
      <c r="AA236" s="140">
        <v>0</v>
      </c>
      <c r="AB236" s="140">
        <v>0</v>
      </c>
      <c r="AC236" s="140">
        <v>0</v>
      </c>
      <c r="AD236" s="127">
        <f t="shared" si="77"/>
        <v>100</v>
      </c>
    </row>
    <row r="237" spans="1:30" ht="15" customHeight="1" x14ac:dyDescent="0.25">
      <c r="A237" s="69" t="s">
        <v>273</v>
      </c>
      <c r="B237" s="68" t="s">
        <v>94</v>
      </c>
      <c r="C237" s="22">
        <v>550</v>
      </c>
      <c r="D237" s="22">
        <v>0</v>
      </c>
      <c r="E237" s="22">
        <f t="shared" si="86"/>
        <v>550</v>
      </c>
      <c r="F237" s="22">
        <v>0</v>
      </c>
      <c r="G237" s="22">
        <v>0</v>
      </c>
      <c r="H237" s="22">
        <f t="shared" si="87"/>
        <v>550</v>
      </c>
      <c r="I237" s="22">
        <v>0</v>
      </c>
      <c r="J237" s="22">
        <v>0</v>
      </c>
      <c r="K237" s="22">
        <f t="shared" si="66"/>
        <v>550</v>
      </c>
      <c r="L237" s="73">
        <v>610</v>
      </c>
      <c r="M237" s="22">
        <f t="shared" si="88"/>
        <v>60</v>
      </c>
      <c r="N237" s="22">
        <f t="shared" si="89"/>
        <v>1.1090909090909091</v>
      </c>
      <c r="O237" s="22">
        <v>0</v>
      </c>
      <c r="P237" s="22">
        <f t="shared" si="90"/>
        <v>610</v>
      </c>
      <c r="Q237" s="22">
        <v>0</v>
      </c>
      <c r="R237" s="22">
        <v>0</v>
      </c>
      <c r="S237" s="22">
        <f t="shared" si="91"/>
        <v>610</v>
      </c>
      <c r="T237" s="22">
        <v>0</v>
      </c>
      <c r="U237" s="22">
        <v>0</v>
      </c>
      <c r="V237" s="22">
        <v>0</v>
      </c>
      <c r="W237" s="22">
        <f t="shared" si="84"/>
        <v>610</v>
      </c>
      <c r="X237" s="22">
        <v>0</v>
      </c>
      <c r="Y237" s="23">
        <v>0</v>
      </c>
      <c r="Z237" s="140">
        <f t="shared" si="92"/>
        <v>610</v>
      </c>
      <c r="AA237" s="140">
        <v>0</v>
      </c>
      <c r="AB237" s="140">
        <v>0</v>
      </c>
      <c r="AC237" s="140">
        <v>0</v>
      </c>
      <c r="AD237" s="127">
        <f t="shared" si="77"/>
        <v>610</v>
      </c>
    </row>
    <row r="238" spans="1:30" ht="15" customHeight="1" x14ac:dyDescent="0.25">
      <c r="A238" s="69" t="s">
        <v>274</v>
      </c>
      <c r="B238" s="68" t="s">
        <v>94</v>
      </c>
      <c r="C238" s="22"/>
      <c r="D238" s="22"/>
      <c r="E238" s="22"/>
      <c r="F238" s="22"/>
      <c r="G238" s="22"/>
      <c r="H238" s="22"/>
      <c r="I238" s="22"/>
      <c r="J238" s="22"/>
      <c r="K238" s="22"/>
      <c r="L238" s="73">
        <v>0</v>
      </c>
      <c r="M238" s="22"/>
      <c r="N238" s="22"/>
      <c r="O238" s="22"/>
      <c r="P238" s="22">
        <v>0</v>
      </c>
      <c r="Q238" s="22">
        <v>0</v>
      </c>
      <c r="R238" s="22">
        <f>10</f>
        <v>10</v>
      </c>
      <c r="S238" s="22">
        <f>SUM(P238:R238)</f>
        <v>10</v>
      </c>
      <c r="T238" s="22">
        <v>0</v>
      </c>
      <c r="U238" s="22">
        <v>0</v>
      </c>
      <c r="V238" s="22">
        <v>0</v>
      </c>
      <c r="W238" s="22">
        <f t="shared" si="84"/>
        <v>10</v>
      </c>
      <c r="X238" s="22">
        <v>0</v>
      </c>
      <c r="Y238" s="23">
        <v>0</v>
      </c>
      <c r="Z238" s="140">
        <f t="shared" si="92"/>
        <v>10</v>
      </c>
      <c r="AA238" s="140">
        <v>0</v>
      </c>
      <c r="AB238" s="140">
        <v>0</v>
      </c>
      <c r="AC238" s="140">
        <v>0</v>
      </c>
      <c r="AD238" s="127">
        <f t="shared" si="77"/>
        <v>10</v>
      </c>
    </row>
    <row r="239" spans="1:30" ht="15" customHeight="1" x14ac:dyDescent="0.25">
      <c r="A239" s="90" t="s">
        <v>275</v>
      </c>
      <c r="B239" s="68" t="s">
        <v>73</v>
      </c>
      <c r="C239" s="22">
        <v>30</v>
      </c>
      <c r="D239" s="22">
        <v>0</v>
      </c>
      <c r="E239" s="22">
        <f t="shared" si="86"/>
        <v>30</v>
      </c>
      <c r="F239" s="22">
        <v>17.5</v>
      </c>
      <c r="G239" s="22">
        <f>-17.5</f>
        <v>-17.5</v>
      </c>
      <c r="H239" s="22">
        <f t="shared" si="87"/>
        <v>30</v>
      </c>
      <c r="I239" s="22">
        <v>0</v>
      </c>
      <c r="J239" s="22">
        <v>0</v>
      </c>
      <c r="K239" s="22">
        <f t="shared" si="66"/>
        <v>30</v>
      </c>
      <c r="L239" s="73">
        <v>50</v>
      </c>
      <c r="M239" s="22">
        <f t="shared" si="88"/>
        <v>20</v>
      </c>
      <c r="N239" s="22">
        <f t="shared" si="89"/>
        <v>1.6666666666666667</v>
      </c>
      <c r="O239" s="22">
        <v>0</v>
      </c>
      <c r="P239" s="22">
        <f t="shared" si="90"/>
        <v>50</v>
      </c>
      <c r="Q239" s="22">
        <v>0</v>
      </c>
      <c r="R239" s="22">
        <v>0</v>
      </c>
      <c r="S239" s="22">
        <f t="shared" si="91"/>
        <v>50</v>
      </c>
      <c r="T239" s="22">
        <v>0</v>
      </c>
      <c r="U239" s="22">
        <v>0</v>
      </c>
      <c r="V239" s="22">
        <v>0</v>
      </c>
      <c r="W239" s="22">
        <f t="shared" si="84"/>
        <v>50</v>
      </c>
      <c r="X239" s="22">
        <v>0</v>
      </c>
      <c r="Y239" s="23">
        <v>0</v>
      </c>
      <c r="Z239" s="140">
        <f t="shared" si="92"/>
        <v>50</v>
      </c>
      <c r="AA239" s="140">
        <v>0</v>
      </c>
      <c r="AB239" s="140">
        <v>0</v>
      </c>
      <c r="AC239" s="140">
        <v>0</v>
      </c>
      <c r="AD239" s="127">
        <f t="shared" si="77"/>
        <v>50</v>
      </c>
    </row>
    <row r="240" spans="1:30" ht="15" customHeight="1" x14ac:dyDescent="0.25">
      <c r="A240" s="20" t="s">
        <v>276</v>
      </c>
      <c r="B240" s="68" t="s">
        <v>73</v>
      </c>
      <c r="C240" s="22">
        <v>20</v>
      </c>
      <c r="D240" s="22">
        <v>0</v>
      </c>
      <c r="E240" s="22">
        <f>SUM(C240:D240)</f>
        <v>20</v>
      </c>
      <c r="F240" s="22">
        <v>0</v>
      </c>
      <c r="G240" s="22">
        <v>0</v>
      </c>
      <c r="H240" s="22">
        <f t="shared" si="87"/>
        <v>20</v>
      </c>
      <c r="I240" s="22">
        <v>0</v>
      </c>
      <c r="J240" s="22">
        <v>0</v>
      </c>
      <c r="K240" s="22">
        <f t="shared" si="66"/>
        <v>20</v>
      </c>
      <c r="L240" s="73">
        <v>20</v>
      </c>
      <c r="M240" s="22">
        <f t="shared" si="88"/>
        <v>0</v>
      </c>
      <c r="N240" s="22">
        <f t="shared" si="89"/>
        <v>1</v>
      </c>
      <c r="O240" s="22">
        <v>0</v>
      </c>
      <c r="P240" s="22">
        <f t="shared" si="90"/>
        <v>20</v>
      </c>
      <c r="Q240" s="22">
        <v>0</v>
      </c>
      <c r="R240" s="22">
        <v>0</v>
      </c>
      <c r="S240" s="22">
        <f t="shared" si="91"/>
        <v>20</v>
      </c>
      <c r="T240" s="22">
        <v>0</v>
      </c>
      <c r="U240" s="22">
        <v>0</v>
      </c>
      <c r="V240" s="22">
        <v>0</v>
      </c>
      <c r="W240" s="22">
        <f t="shared" si="84"/>
        <v>20</v>
      </c>
      <c r="X240" s="22">
        <v>0</v>
      </c>
      <c r="Y240" s="23">
        <v>0</v>
      </c>
      <c r="Z240" s="140">
        <f t="shared" si="92"/>
        <v>20</v>
      </c>
      <c r="AA240" s="140">
        <v>0</v>
      </c>
      <c r="AB240" s="140">
        <v>0</v>
      </c>
      <c r="AC240" s="140">
        <v>0</v>
      </c>
      <c r="AD240" s="127">
        <f t="shared" si="77"/>
        <v>20</v>
      </c>
    </row>
    <row r="241" spans="1:30" ht="61.5" customHeight="1" x14ac:dyDescent="0.25">
      <c r="A241" s="90" t="s">
        <v>277</v>
      </c>
      <c r="B241" s="68" t="s">
        <v>94</v>
      </c>
      <c r="C241" s="22">
        <v>228</v>
      </c>
      <c r="D241" s="22">
        <v>0</v>
      </c>
      <c r="E241" s="22">
        <f t="shared" si="86"/>
        <v>228</v>
      </c>
      <c r="F241" s="22">
        <v>0</v>
      </c>
      <c r="G241" s="22">
        <v>0</v>
      </c>
      <c r="H241" s="22">
        <f t="shared" si="87"/>
        <v>228</v>
      </c>
      <c r="I241" s="22">
        <v>0</v>
      </c>
      <c r="J241" s="22">
        <v>0</v>
      </c>
      <c r="K241" s="22">
        <f t="shared" si="66"/>
        <v>228</v>
      </c>
      <c r="L241" s="73">
        <v>267</v>
      </c>
      <c r="M241" s="22">
        <f t="shared" si="88"/>
        <v>39</v>
      </c>
      <c r="N241" s="22">
        <f t="shared" si="89"/>
        <v>1.1710526315789473</v>
      </c>
      <c r="O241" s="22">
        <v>0</v>
      </c>
      <c r="P241" s="22">
        <f t="shared" si="90"/>
        <v>267</v>
      </c>
      <c r="Q241" s="22">
        <v>0</v>
      </c>
      <c r="R241" s="22">
        <v>0</v>
      </c>
      <c r="S241" s="22">
        <f t="shared" si="91"/>
        <v>267</v>
      </c>
      <c r="T241" s="22">
        <v>0</v>
      </c>
      <c r="U241" s="22">
        <v>0</v>
      </c>
      <c r="V241" s="22">
        <v>0</v>
      </c>
      <c r="W241" s="22">
        <f t="shared" si="84"/>
        <v>267</v>
      </c>
      <c r="X241" s="22">
        <v>0</v>
      </c>
      <c r="Y241" s="23">
        <v>0</v>
      </c>
      <c r="Z241" s="140">
        <f t="shared" si="92"/>
        <v>267</v>
      </c>
      <c r="AA241" s="140">
        <v>0</v>
      </c>
      <c r="AB241" s="140">
        <f>-50</f>
        <v>-50</v>
      </c>
      <c r="AC241" s="140">
        <v>0</v>
      </c>
      <c r="AD241" s="127">
        <f t="shared" si="77"/>
        <v>217</v>
      </c>
    </row>
    <row r="242" spans="1:30" ht="24" customHeight="1" x14ac:dyDescent="0.25">
      <c r="A242" s="90" t="s">
        <v>278</v>
      </c>
      <c r="B242" s="68" t="s">
        <v>73</v>
      </c>
      <c r="C242" s="22">
        <v>0</v>
      </c>
      <c r="D242" s="22"/>
      <c r="E242" s="22">
        <v>0</v>
      </c>
      <c r="F242" s="22">
        <v>50</v>
      </c>
      <c r="G242" s="22">
        <v>0</v>
      </c>
      <c r="H242" s="22">
        <f t="shared" si="87"/>
        <v>50</v>
      </c>
      <c r="I242" s="22">
        <v>0</v>
      </c>
      <c r="J242" s="22">
        <v>0</v>
      </c>
      <c r="K242" s="22">
        <f t="shared" ref="K242:K314" si="93">SUM(H242:J242)</f>
        <v>50</v>
      </c>
      <c r="L242" s="73">
        <v>30</v>
      </c>
      <c r="M242" s="22">
        <f t="shared" si="88"/>
        <v>-20</v>
      </c>
      <c r="N242" s="22">
        <f t="shared" si="89"/>
        <v>0.6</v>
      </c>
      <c r="O242" s="22">
        <v>0</v>
      </c>
      <c r="P242" s="22">
        <f t="shared" si="90"/>
        <v>30</v>
      </c>
      <c r="Q242" s="22">
        <v>0</v>
      </c>
      <c r="R242" s="22">
        <v>0</v>
      </c>
      <c r="S242" s="22">
        <f t="shared" si="91"/>
        <v>30</v>
      </c>
      <c r="T242" s="22">
        <v>0</v>
      </c>
      <c r="U242" s="22">
        <v>0</v>
      </c>
      <c r="V242" s="22">
        <v>0</v>
      </c>
      <c r="W242" s="22">
        <f t="shared" si="84"/>
        <v>30</v>
      </c>
      <c r="X242" s="22">
        <v>0</v>
      </c>
      <c r="Y242" s="23">
        <v>0</v>
      </c>
      <c r="Z242" s="140">
        <f t="shared" si="92"/>
        <v>30</v>
      </c>
      <c r="AA242" s="140">
        <v>0</v>
      </c>
      <c r="AB242" s="140">
        <v>0</v>
      </c>
      <c r="AC242" s="140">
        <v>0</v>
      </c>
      <c r="AD242" s="127">
        <f t="shared" si="77"/>
        <v>30</v>
      </c>
    </row>
    <row r="243" spans="1:30" ht="15" customHeight="1" x14ac:dyDescent="0.25">
      <c r="A243" s="90" t="s">
        <v>279</v>
      </c>
      <c r="B243" s="68" t="s">
        <v>94</v>
      </c>
      <c r="C243" s="22"/>
      <c r="D243" s="22"/>
      <c r="E243" s="22"/>
      <c r="F243" s="22"/>
      <c r="G243" s="22"/>
      <c r="H243" s="22"/>
      <c r="I243" s="22"/>
      <c r="J243" s="22"/>
      <c r="K243" s="22"/>
      <c r="L243" s="73">
        <v>0</v>
      </c>
      <c r="M243" s="22"/>
      <c r="N243" s="22"/>
      <c r="O243" s="22">
        <f>50</f>
        <v>50</v>
      </c>
      <c r="P243" s="22">
        <f>SUM(L243:O243)</f>
        <v>50</v>
      </c>
      <c r="Q243" s="22">
        <v>0</v>
      </c>
      <c r="R243" s="22">
        <v>0</v>
      </c>
      <c r="S243" s="22">
        <f t="shared" si="91"/>
        <v>50</v>
      </c>
      <c r="T243" s="22">
        <v>0</v>
      </c>
      <c r="U243" s="22">
        <v>0</v>
      </c>
      <c r="V243" s="22">
        <v>0</v>
      </c>
      <c r="W243" s="22">
        <f t="shared" si="84"/>
        <v>50</v>
      </c>
      <c r="X243" s="22">
        <v>0</v>
      </c>
      <c r="Y243" s="23">
        <v>0</v>
      </c>
      <c r="Z243" s="140">
        <f t="shared" si="92"/>
        <v>50</v>
      </c>
      <c r="AA243" s="140">
        <v>0</v>
      </c>
      <c r="AB243" s="140">
        <v>0</v>
      </c>
      <c r="AC243" s="140">
        <v>0</v>
      </c>
      <c r="AD243" s="127">
        <f t="shared" si="77"/>
        <v>50</v>
      </c>
    </row>
    <row r="244" spans="1:30" ht="24" customHeight="1" x14ac:dyDescent="0.25">
      <c r="A244" s="90" t="s">
        <v>280</v>
      </c>
      <c r="B244" s="68" t="s">
        <v>94</v>
      </c>
      <c r="C244" s="22"/>
      <c r="D244" s="22"/>
      <c r="E244" s="22"/>
      <c r="F244" s="22"/>
      <c r="G244" s="22"/>
      <c r="H244" s="22"/>
      <c r="I244" s="22"/>
      <c r="J244" s="22"/>
      <c r="K244" s="22"/>
      <c r="L244" s="73">
        <v>0</v>
      </c>
      <c r="M244" s="22"/>
      <c r="N244" s="22"/>
      <c r="O244" s="22"/>
      <c r="P244" s="22">
        <v>0</v>
      </c>
      <c r="Q244" s="22">
        <v>0</v>
      </c>
      <c r="R244" s="22">
        <f>5</f>
        <v>5</v>
      </c>
      <c r="S244" s="22">
        <f>SUM(P244:R244)</f>
        <v>5</v>
      </c>
      <c r="T244" s="22">
        <v>0</v>
      </c>
      <c r="U244" s="22">
        <v>0</v>
      </c>
      <c r="V244" s="22">
        <v>0</v>
      </c>
      <c r="W244" s="22">
        <f t="shared" si="84"/>
        <v>5</v>
      </c>
      <c r="X244" s="22">
        <v>0</v>
      </c>
      <c r="Y244" s="23">
        <v>0</v>
      </c>
      <c r="Z244" s="140">
        <f t="shared" si="92"/>
        <v>5</v>
      </c>
      <c r="AA244" s="140">
        <v>0</v>
      </c>
      <c r="AB244" s="140">
        <v>0</v>
      </c>
      <c r="AC244" s="140">
        <v>0</v>
      </c>
      <c r="AD244" s="127">
        <f t="shared" si="77"/>
        <v>5</v>
      </c>
    </row>
    <row r="245" spans="1:30" ht="15" customHeight="1" x14ac:dyDescent="0.25">
      <c r="A245" s="90" t="s">
        <v>281</v>
      </c>
      <c r="B245" s="68" t="s">
        <v>94</v>
      </c>
      <c r="C245" s="22"/>
      <c r="D245" s="22"/>
      <c r="E245" s="22"/>
      <c r="F245" s="22"/>
      <c r="G245" s="22"/>
      <c r="H245" s="22"/>
      <c r="I245" s="22"/>
      <c r="J245" s="22"/>
      <c r="K245" s="22"/>
      <c r="L245" s="73">
        <v>0</v>
      </c>
      <c r="M245" s="22"/>
      <c r="N245" s="22"/>
      <c r="O245" s="22"/>
      <c r="P245" s="22">
        <v>0</v>
      </c>
      <c r="Q245" s="22">
        <v>0</v>
      </c>
      <c r="R245" s="22">
        <f>4</f>
        <v>4</v>
      </c>
      <c r="S245" s="22">
        <f>SUM(P245:R245)</f>
        <v>4</v>
      </c>
      <c r="T245" s="22">
        <v>0</v>
      </c>
      <c r="U245" s="22">
        <v>0</v>
      </c>
      <c r="V245" s="22">
        <v>0</v>
      </c>
      <c r="W245" s="22">
        <f t="shared" si="84"/>
        <v>4</v>
      </c>
      <c r="X245" s="22">
        <v>0</v>
      </c>
      <c r="Y245" s="23">
        <v>0</v>
      </c>
      <c r="Z245" s="140">
        <f t="shared" si="92"/>
        <v>4</v>
      </c>
      <c r="AA245" s="140">
        <v>0</v>
      </c>
      <c r="AB245" s="140">
        <v>0</v>
      </c>
      <c r="AC245" s="140">
        <v>0</v>
      </c>
      <c r="AD245" s="127">
        <f t="shared" si="77"/>
        <v>4</v>
      </c>
    </row>
    <row r="246" spans="1:30" ht="27" customHeight="1" x14ac:dyDescent="0.25">
      <c r="A246" s="90" t="s">
        <v>282</v>
      </c>
      <c r="B246" s="68" t="s">
        <v>58</v>
      </c>
      <c r="C246" s="22"/>
      <c r="D246" s="22"/>
      <c r="E246" s="22"/>
      <c r="F246" s="22"/>
      <c r="G246" s="22"/>
      <c r="H246" s="22"/>
      <c r="I246" s="22"/>
      <c r="J246" s="22"/>
      <c r="K246" s="22"/>
      <c r="L246" s="73">
        <v>0</v>
      </c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>
        <v>0</v>
      </c>
      <c r="X246" s="22">
        <f>220</f>
        <v>220</v>
      </c>
      <c r="Y246" s="23">
        <v>0</v>
      </c>
      <c r="Z246" s="140">
        <f t="shared" si="92"/>
        <v>220</v>
      </c>
      <c r="AA246" s="140">
        <v>0</v>
      </c>
      <c r="AB246" s="140">
        <v>0</v>
      </c>
      <c r="AC246" s="140">
        <v>0</v>
      </c>
      <c r="AD246" s="127">
        <f t="shared" si="77"/>
        <v>220</v>
      </c>
    </row>
    <row r="247" spans="1:30" ht="27.75" customHeight="1" x14ac:dyDescent="0.25">
      <c r="A247" s="20" t="s">
        <v>283</v>
      </c>
      <c r="B247" s="68" t="s">
        <v>94</v>
      </c>
      <c r="C247" s="22">
        <v>668</v>
      </c>
      <c r="D247" s="22">
        <v>0</v>
      </c>
      <c r="E247" s="22">
        <f t="shared" si="86"/>
        <v>668</v>
      </c>
      <c r="F247" s="22">
        <v>0</v>
      </c>
      <c r="G247" s="22">
        <v>0</v>
      </c>
      <c r="H247" s="22">
        <f t="shared" si="87"/>
        <v>668</v>
      </c>
      <c r="I247" s="22">
        <v>0</v>
      </c>
      <c r="J247" s="22">
        <v>0</v>
      </c>
      <c r="K247" s="22">
        <f t="shared" si="93"/>
        <v>668</v>
      </c>
      <c r="L247" s="73">
        <v>668</v>
      </c>
      <c r="M247" s="22">
        <f t="shared" si="88"/>
        <v>0</v>
      </c>
      <c r="N247" s="22">
        <f t="shared" si="89"/>
        <v>1</v>
      </c>
      <c r="O247" s="22">
        <v>0</v>
      </c>
      <c r="P247" s="22">
        <f t="shared" si="90"/>
        <v>668</v>
      </c>
      <c r="Q247" s="22">
        <v>0</v>
      </c>
      <c r="R247" s="22">
        <v>0</v>
      </c>
      <c r="S247" s="22">
        <f t="shared" si="91"/>
        <v>668</v>
      </c>
      <c r="T247" s="22">
        <v>0</v>
      </c>
      <c r="U247" s="22">
        <v>0</v>
      </c>
      <c r="V247" s="22">
        <v>0</v>
      </c>
      <c r="W247" s="22">
        <f t="shared" si="84"/>
        <v>668</v>
      </c>
      <c r="X247" s="22">
        <v>0</v>
      </c>
      <c r="Y247" s="23">
        <v>0</v>
      </c>
      <c r="Z247" s="140">
        <f t="shared" si="92"/>
        <v>668</v>
      </c>
      <c r="AA247" s="140">
        <v>0</v>
      </c>
      <c r="AB247" s="140">
        <v>0</v>
      </c>
      <c r="AC247" s="140">
        <v>0</v>
      </c>
      <c r="AD247" s="127">
        <f t="shared" si="77"/>
        <v>668</v>
      </c>
    </row>
    <row r="248" spans="1:30" ht="22.5" customHeight="1" x14ac:dyDescent="0.25">
      <c r="A248" s="20" t="s">
        <v>284</v>
      </c>
      <c r="B248" s="68" t="s">
        <v>94</v>
      </c>
      <c r="C248" s="22">
        <v>526</v>
      </c>
      <c r="D248" s="22">
        <v>0</v>
      </c>
      <c r="E248" s="22">
        <f t="shared" si="86"/>
        <v>526</v>
      </c>
      <c r="F248" s="22">
        <v>0</v>
      </c>
      <c r="G248" s="22">
        <v>0</v>
      </c>
      <c r="H248" s="22">
        <f t="shared" si="87"/>
        <v>526</v>
      </c>
      <c r="I248" s="22">
        <v>0</v>
      </c>
      <c r="J248" s="22">
        <v>0</v>
      </c>
      <c r="K248" s="22">
        <f t="shared" si="93"/>
        <v>526</v>
      </c>
      <c r="L248" s="73">
        <v>526</v>
      </c>
      <c r="M248" s="22">
        <f t="shared" si="88"/>
        <v>0</v>
      </c>
      <c r="N248" s="22">
        <f t="shared" si="89"/>
        <v>1</v>
      </c>
      <c r="O248" s="22">
        <v>0</v>
      </c>
      <c r="P248" s="22">
        <f t="shared" si="90"/>
        <v>526</v>
      </c>
      <c r="Q248" s="22">
        <v>0</v>
      </c>
      <c r="R248" s="22">
        <v>0</v>
      </c>
      <c r="S248" s="22">
        <f t="shared" si="91"/>
        <v>526</v>
      </c>
      <c r="T248" s="22">
        <v>0</v>
      </c>
      <c r="U248" s="22">
        <v>0</v>
      </c>
      <c r="V248" s="22">
        <v>0</v>
      </c>
      <c r="W248" s="22">
        <f t="shared" si="84"/>
        <v>526</v>
      </c>
      <c r="X248" s="22">
        <v>0</v>
      </c>
      <c r="Y248" s="23">
        <v>0</v>
      </c>
      <c r="Z248" s="140">
        <f t="shared" si="92"/>
        <v>526</v>
      </c>
      <c r="AA248" s="140">
        <v>0</v>
      </c>
      <c r="AB248" s="140">
        <v>0</v>
      </c>
      <c r="AC248" s="140">
        <v>0</v>
      </c>
      <c r="AD248" s="127">
        <f t="shared" si="77"/>
        <v>526</v>
      </c>
    </row>
    <row r="249" spans="1:30" ht="24" customHeight="1" x14ac:dyDescent="0.25">
      <c r="A249" s="20" t="s">
        <v>285</v>
      </c>
      <c r="B249" s="68" t="s">
        <v>94</v>
      </c>
      <c r="C249" s="22">
        <v>110</v>
      </c>
      <c r="D249" s="22">
        <v>0</v>
      </c>
      <c r="E249" s="22">
        <f t="shared" si="86"/>
        <v>110</v>
      </c>
      <c r="F249" s="22">
        <v>0</v>
      </c>
      <c r="G249" s="22">
        <v>0</v>
      </c>
      <c r="H249" s="22">
        <f t="shared" si="87"/>
        <v>110</v>
      </c>
      <c r="I249" s="22">
        <v>0</v>
      </c>
      <c r="J249" s="22">
        <v>0</v>
      </c>
      <c r="K249" s="22">
        <f t="shared" si="93"/>
        <v>110</v>
      </c>
      <c r="L249" s="73">
        <v>110</v>
      </c>
      <c r="M249" s="22">
        <f t="shared" si="88"/>
        <v>0</v>
      </c>
      <c r="N249" s="22">
        <f t="shared" si="89"/>
        <v>1</v>
      </c>
      <c r="O249" s="22">
        <v>0</v>
      </c>
      <c r="P249" s="22">
        <f t="shared" si="90"/>
        <v>110</v>
      </c>
      <c r="Q249" s="22">
        <v>0</v>
      </c>
      <c r="R249" s="22">
        <v>0</v>
      </c>
      <c r="S249" s="22">
        <f t="shared" si="91"/>
        <v>110</v>
      </c>
      <c r="T249" s="22">
        <v>0</v>
      </c>
      <c r="U249" s="22">
        <v>0</v>
      </c>
      <c r="V249" s="22">
        <v>0</v>
      </c>
      <c r="W249" s="22">
        <f t="shared" si="84"/>
        <v>110</v>
      </c>
      <c r="X249" s="22">
        <v>0</v>
      </c>
      <c r="Y249" s="23">
        <v>0</v>
      </c>
      <c r="Z249" s="140">
        <f t="shared" si="92"/>
        <v>110</v>
      </c>
      <c r="AA249" s="140">
        <v>0</v>
      </c>
      <c r="AB249" s="140">
        <v>0</v>
      </c>
      <c r="AC249" s="140">
        <v>0</v>
      </c>
      <c r="AD249" s="127">
        <f t="shared" si="77"/>
        <v>110</v>
      </c>
    </row>
    <row r="250" spans="1:30" ht="24.75" customHeight="1" x14ac:dyDescent="0.25">
      <c r="A250" s="20" t="s">
        <v>286</v>
      </c>
      <c r="B250" s="68" t="s">
        <v>94</v>
      </c>
      <c r="C250" s="22">
        <v>476</v>
      </c>
      <c r="D250" s="22">
        <v>0</v>
      </c>
      <c r="E250" s="22">
        <f t="shared" si="86"/>
        <v>476</v>
      </c>
      <c r="F250" s="22">
        <v>0</v>
      </c>
      <c r="G250" s="22">
        <v>0</v>
      </c>
      <c r="H250" s="22">
        <f t="shared" si="87"/>
        <v>476</v>
      </c>
      <c r="I250" s="22">
        <v>0</v>
      </c>
      <c r="J250" s="22">
        <v>0</v>
      </c>
      <c r="K250" s="22">
        <f t="shared" si="93"/>
        <v>476</v>
      </c>
      <c r="L250" s="73">
        <v>476</v>
      </c>
      <c r="M250" s="22">
        <f t="shared" si="88"/>
        <v>0</v>
      </c>
      <c r="N250" s="22">
        <f t="shared" si="89"/>
        <v>1</v>
      </c>
      <c r="O250" s="22">
        <v>0</v>
      </c>
      <c r="P250" s="22">
        <f t="shared" si="90"/>
        <v>476</v>
      </c>
      <c r="Q250" s="22">
        <v>0</v>
      </c>
      <c r="R250" s="22">
        <v>0</v>
      </c>
      <c r="S250" s="22">
        <f t="shared" si="91"/>
        <v>476</v>
      </c>
      <c r="T250" s="22">
        <v>0</v>
      </c>
      <c r="U250" s="22">
        <v>0</v>
      </c>
      <c r="V250" s="22">
        <v>0</v>
      </c>
      <c r="W250" s="22">
        <f t="shared" si="84"/>
        <v>476</v>
      </c>
      <c r="X250" s="22">
        <v>0</v>
      </c>
      <c r="Y250" s="23">
        <v>0</v>
      </c>
      <c r="Z250" s="140">
        <f t="shared" si="92"/>
        <v>476</v>
      </c>
      <c r="AA250" s="140">
        <v>0</v>
      </c>
      <c r="AB250" s="140">
        <v>0</v>
      </c>
      <c r="AC250" s="140">
        <v>0</v>
      </c>
      <c r="AD250" s="127">
        <f t="shared" si="77"/>
        <v>476</v>
      </c>
    </row>
    <row r="251" spans="1:30" ht="15" customHeight="1" x14ac:dyDescent="0.25">
      <c r="A251" s="20" t="s">
        <v>287</v>
      </c>
      <c r="B251" s="68" t="s">
        <v>188</v>
      </c>
      <c r="C251" s="22"/>
      <c r="D251" s="22"/>
      <c r="E251" s="22"/>
      <c r="F251" s="22"/>
      <c r="G251" s="22"/>
      <c r="H251" s="22"/>
      <c r="I251" s="22"/>
      <c r="J251" s="22"/>
      <c r="K251" s="22"/>
      <c r="L251" s="73">
        <v>0</v>
      </c>
      <c r="M251" s="22"/>
      <c r="N251" s="22"/>
      <c r="O251" s="22"/>
      <c r="P251" s="22">
        <v>0</v>
      </c>
      <c r="Q251" s="22">
        <v>65</v>
      </c>
      <c r="R251" s="22">
        <v>0</v>
      </c>
      <c r="S251" s="22">
        <f t="shared" si="91"/>
        <v>65</v>
      </c>
      <c r="T251" s="22">
        <v>0</v>
      </c>
      <c r="U251" s="22">
        <v>0</v>
      </c>
      <c r="V251" s="22">
        <v>0</v>
      </c>
      <c r="W251" s="22">
        <f t="shared" si="84"/>
        <v>65</v>
      </c>
      <c r="X251" s="22">
        <v>0</v>
      </c>
      <c r="Y251" s="23">
        <v>0</v>
      </c>
      <c r="Z251" s="140">
        <f t="shared" si="92"/>
        <v>65</v>
      </c>
      <c r="AA251" s="140">
        <v>0</v>
      </c>
      <c r="AB251" s="140">
        <v>0</v>
      </c>
      <c r="AC251" s="140">
        <v>0</v>
      </c>
      <c r="AD251" s="127">
        <f t="shared" si="77"/>
        <v>65</v>
      </c>
    </row>
    <row r="252" spans="1:30" ht="15" customHeight="1" x14ac:dyDescent="0.25">
      <c r="A252" s="20" t="s">
        <v>288</v>
      </c>
      <c r="B252" s="68" t="s">
        <v>94</v>
      </c>
      <c r="C252" s="22"/>
      <c r="D252" s="22"/>
      <c r="E252" s="22"/>
      <c r="F252" s="22"/>
      <c r="G252" s="22"/>
      <c r="H252" s="22"/>
      <c r="I252" s="22"/>
      <c r="J252" s="22"/>
      <c r="K252" s="22"/>
      <c r="L252" s="73">
        <v>0</v>
      </c>
      <c r="M252" s="22"/>
      <c r="N252" s="22"/>
      <c r="O252" s="22"/>
      <c r="P252" s="22"/>
      <c r="Q252" s="22"/>
      <c r="R252" s="22"/>
      <c r="S252" s="22">
        <v>0</v>
      </c>
      <c r="T252" s="22">
        <v>150</v>
      </c>
      <c r="U252" s="22">
        <v>0</v>
      </c>
      <c r="V252" s="22">
        <v>0</v>
      </c>
      <c r="W252" s="22">
        <f t="shared" si="84"/>
        <v>150</v>
      </c>
      <c r="X252" s="22">
        <v>0</v>
      </c>
      <c r="Y252" s="23">
        <v>0</v>
      </c>
      <c r="Z252" s="140">
        <f t="shared" si="92"/>
        <v>150</v>
      </c>
      <c r="AA252" s="140">
        <v>0</v>
      </c>
      <c r="AB252" s="140">
        <v>0</v>
      </c>
      <c r="AC252" s="140">
        <v>0</v>
      </c>
      <c r="AD252" s="127">
        <f t="shared" si="77"/>
        <v>150</v>
      </c>
    </row>
    <row r="253" spans="1:30" ht="15" customHeight="1" x14ac:dyDescent="0.25">
      <c r="A253" s="20" t="s">
        <v>289</v>
      </c>
      <c r="B253" s="68" t="s">
        <v>290</v>
      </c>
      <c r="C253" s="22"/>
      <c r="D253" s="22"/>
      <c r="E253" s="22"/>
      <c r="F253" s="22"/>
      <c r="G253" s="22"/>
      <c r="H253" s="22"/>
      <c r="I253" s="22"/>
      <c r="J253" s="22"/>
      <c r="K253" s="22"/>
      <c r="L253" s="73">
        <v>0</v>
      </c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>
        <f>50</f>
        <v>50</v>
      </c>
      <c r="X253" s="22">
        <v>0</v>
      </c>
      <c r="Y253" s="23">
        <v>0</v>
      </c>
      <c r="Z253" s="140">
        <f t="shared" si="92"/>
        <v>50</v>
      </c>
      <c r="AA253" s="140">
        <v>0</v>
      </c>
      <c r="AB253" s="140">
        <v>0</v>
      </c>
      <c r="AC253" s="140">
        <v>0</v>
      </c>
      <c r="AD253" s="127">
        <f t="shared" si="77"/>
        <v>50</v>
      </c>
    </row>
    <row r="254" spans="1:30" ht="29.25" customHeight="1" x14ac:dyDescent="0.25">
      <c r="A254" s="20" t="s">
        <v>291</v>
      </c>
      <c r="B254" s="68" t="s">
        <v>94</v>
      </c>
      <c r="C254" s="22"/>
      <c r="D254" s="22"/>
      <c r="E254" s="22"/>
      <c r="F254" s="22"/>
      <c r="G254" s="22"/>
      <c r="H254" s="22"/>
      <c r="I254" s="22"/>
      <c r="J254" s="22"/>
      <c r="K254" s="22"/>
      <c r="L254" s="73">
        <v>0</v>
      </c>
      <c r="M254" s="22"/>
      <c r="N254" s="22"/>
      <c r="O254" s="22"/>
      <c r="P254" s="22"/>
      <c r="Q254" s="22"/>
      <c r="R254" s="22"/>
      <c r="S254" s="22">
        <v>0</v>
      </c>
      <c r="T254" s="22">
        <v>0</v>
      </c>
      <c r="U254" s="22">
        <v>0</v>
      </c>
      <c r="V254" s="22">
        <f>50</f>
        <v>50</v>
      </c>
      <c r="W254" s="22">
        <f>SUM(S254:V254)</f>
        <v>50</v>
      </c>
      <c r="X254" s="22">
        <v>0</v>
      </c>
      <c r="Y254" s="23">
        <v>0</v>
      </c>
      <c r="Z254" s="140">
        <f t="shared" si="92"/>
        <v>50</v>
      </c>
      <c r="AA254" s="140">
        <v>0</v>
      </c>
      <c r="AB254" s="140">
        <v>0</v>
      </c>
      <c r="AC254" s="140">
        <v>0</v>
      </c>
      <c r="AD254" s="127">
        <f t="shared" si="77"/>
        <v>50</v>
      </c>
    </row>
    <row r="255" spans="1:30" ht="46.5" customHeight="1" x14ac:dyDescent="0.25">
      <c r="A255" s="20" t="s">
        <v>292</v>
      </c>
      <c r="B255" s="68" t="s">
        <v>94</v>
      </c>
      <c r="C255" s="22"/>
      <c r="D255" s="22"/>
      <c r="E255" s="22"/>
      <c r="F255" s="22"/>
      <c r="G255" s="22"/>
      <c r="H255" s="22"/>
      <c r="I255" s="22"/>
      <c r="J255" s="22"/>
      <c r="K255" s="22"/>
      <c r="L255" s="73">
        <v>0</v>
      </c>
      <c r="M255" s="22"/>
      <c r="N255" s="22"/>
      <c r="O255" s="22"/>
      <c r="P255" s="22"/>
      <c r="Q255" s="22"/>
      <c r="R255" s="22"/>
      <c r="S255" s="22">
        <v>0</v>
      </c>
      <c r="T255" s="22">
        <v>0</v>
      </c>
      <c r="U255" s="22">
        <v>0</v>
      </c>
      <c r="V255" s="22">
        <f>8</f>
        <v>8</v>
      </c>
      <c r="W255" s="22">
        <f>SUM(S255:V255)</f>
        <v>8</v>
      </c>
      <c r="X255" s="22">
        <v>0</v>
      </c>
      <c r="Y255" s="23">
        <v>0</v>
      </c>
      <c r="Z255" s="140">
        <f t="shared" si="92"/>
        <v>8</v>
      </c>
      <c r="AA255" s="140">
        <v>0</v>
      </c>
      <c r="AB255" s="140">
        <v>0</v>
      </c>
      <c r="AC255" s="140">
        <v>0</v>
      </c>
      <c r="AD255" s="127">
        <f t="shared" si="77"/>
        <v>8</v>
      </c>
    </row>
    <row r="256" spans="1:30" ht="24" customHeight="1" x14ac:dyDescent="0.25">
      <c r="A256" s="20" t="s">
        <v>293</v>
      </c>
      <c r="B256" s="68" t="s">
        <v>94</v>
      </c>
      <c r="C256" s="22"/>
      <c r="D256" s="22"/>
      <c r="E256" s="22"/>
      <c r="F256" s="22"/>
      <c r="G256" s="22"/>
      <c r="H256" s="22"/>
      <c r="I256" s="22"/>
      <c r="J256" s="22"/>
      <c r="K256" s="22"/>
      <c r="L256" s="73">
        <v>0</v>
      </c>
      <c r="M256" s="22"/>
      <c r="N256" s="22"/>
      <c r="O256" s="22"/>
      <c r="P256" s="22"/>
      <c r="Q256" s="22"/>
      <c r="R256" s="22"/>
      <c r="S256" s="22">
        <v>0</v>
      </c>
      <c r="T256" s="22">
        <v>0</v>
      </c>
      <c r="U256" s="22">
        <v>0</v>
      </c>
      <c r="V256" s="22">
        <f>35</f>
        <v>35</v>
      </c>
      <c r="W256" s="22">
        <f>SUM(S256:V256)</f>
        <v>35</v>
      </c>
      <c r="X256" s="22">
        <v>0</v>
      </c>
      <c r="Y256" s="23">
        <v>0</v>
      </c>
      <c r="Z256" s="140">
        <f t="shared" si="92"/>
        <v>35</v>
      </c>
      <c r="AA256" s="140">
        <v>0</v>
      </c>
      <c r="AB256" s="140">
        <v>0</v>
      </c>
      <c r="AC256" s="140">
        <v>0</v>
      </c>
      <c r="AD256" s="127">
        <f t="shared" si="77"/>
        <v>35</v>
      </c>
    </row>
    <row r="257" spans="1:30" ht="24" customHeight="1" x14ac:dyDescent="0.25">
      <c r="A257" s="20" t="s">
        <v>294</v>
      </c>
      <c r="B257" s="68" t="s">
        <v>94</v>
      </c>
      <c r="C257" s="22"/>
      <c r="D257" s="22"/>
      <c r="E257" s="22"/>
      <c r="F257" s="22"/>
      <c r="G257" s="22"/>
      <c r="H257" s="22"/>
      <c r="I257" s="22"/>
      <c r="J257" s="22"/>
      <c r="K257" s="22"/>
      <c r="L257" s="73">
        <v>0</v>
      </c>
      <c r="M257" s="22"/>
      <c r="N257" s="22"/>
      <c r="O257" s="22"/>
      <c r="P257" s="22">
        <v>0</v>
      </c>
      <c r="Q257" s="22">
        <v>100</v>
      </c>
      <c r="R257" s="22">
        <v>0</v>
      </c>
      <c r="S257" s="22">
        <f t="shared" si="91"/>
        <v>100</v>
      </c>
      <c r="T257" s="22">
        <v>0</v>
      </c>
      <c r="U257" s="22">
        <v>0</v>
      </c>
      <c r="V257" s="22">
        <v>0</v>
      </c>
      <c r="W257" s="22">
        <f t="shared" si="84"/>
        <v>100</v>
      </c>
      <c r="X257" s="22">
        <v>0</v>
      </c>
      <c r="Y257" s="23">
        <v>0</v>
      </c>
      <c r="Z257" s="140">
        <f t="shared" si="92"/>
        <v>100</v>
      </c>
      <c r="AA257" s="140">
        <v>0</v>
      </c>
      <c r="AB257" s="140">
        <v>0</v>
      </c>
      <c r="AC257" s="140">
        <v>0</v>
      </c>
      <c r="AD257" s="127">
        <f t="shared" si="77"/>
        <v>100</v>
      </c>
    </row>
    <row r="258" spans="1:30" ht="24.75" customHeight="1" thickBot="1" x14ac:dyDescent="0.3">
      <c r="A258" s="24" t="s">
        <v>295</v>
      </c>
      <c r="B258" s="60"/>
      <c r="C258" s="26">
        <v>3529.25</v>
      </c>
      <c r="D258" s="26">
        <f>16.22</f>
        <v>16.22</v>
      </c>
      <c r="E258" s="26">
        <f t="shared" si="86"/>
        <v>3545.47</v>
      </c>
      <c r="F258" s="26">
        <v>1211.27</v>
      </c>
      <c r="G258" s="26">
        <f>-16.22-7.5</f>
        <v>-23.72</v>
      </c>
      <c r="H258" s="26">
        <f t="shared" si="87"/>
        <v>4733.0199999999995</v>
      </c>
      <c r="I258" s="26">
        <v>250</v>
      </c>
      <c r="J258" s="26">
        <v>0</v>
      </c>
      <c r="K258" s="26">
        <f t="shared" si="93"/>
        <v>4983.0199999999995</v>
      </c>
      <c r="L258" s="95">
        <v>5587.81</v>
      </c>
      <c r="M258" s="26">
        <f t="shared" si="88"/>
        <v>604.79000000000087</v>
      </c>
      <c r="N258" s="26">
        <f t="shared" si="89"/>
        <v>1.1213701731078745</v>
      </c>
      <c r="O258" s="26">
        <f>1440.08</f>
        <v>1440.08</v>
      </c>
      <c r="P258" s="26">
        <f t="shared" si="90"/>
        <v>7027.89</v>
      </c>
      <c r="Q258" s="26">
        <v>3560</v>
      </c>
      <c r="R258" s="26">
        <f>-19</f>
        <v>-19</v>
      </c>
      <c r="S258" s="26">
        <f>SUM(P258:R258)</f>
        <v>10568.89</v>
      </c>
      <c r="T258" s="26">
        <v>-150</v>
      </c>
      <c r="U258" s="26">
        <v>0</v>
      </c>
      <c r="V258" s="26">
        <f>-35-58</f>
        <v>-93</v>
      </c>
      <c r="W258" s="26">
        <f>SUM(S258:V258)-50</f>
        <v>10275.89</v>
      </c>
      <c r="X258" s="26">
        <f>-4188</f>
        <v>-4188</v>
      </c>
      <c r="Y258" s="27">
        <f>-50</f>
        <v>-50</v>
      </c>
      <c r="Z258" s="145">
        <f t="shared" si="92"/>
        <v>6037.8899999999994</v>
      </c>
      <c r="AA258" s="145">
        <v>0</v>
      </c>
      <c r="AB258" s="145">
        <f>-1438</f>
        <v>-1438</v>
      </c>
      <c r="AC258" s="141">
        <v>0</v>
      </c>
      <c r="AD258" s="128">
        <f t="shared" si="77"/>
        <v>4599.8899999999994</v>
      </c>
    </row>
    <row r="259" spans="1:30" ht="16.350000000000001" customHeight="1" thickBot="1" x14ac:dyDescent="0.3">
      <c r="A259" s="71" t="s">
        <v>296</v>
      </c>
      <c r="B259" s="65"/>
      <c r="C259" s="54">
        <f>SUM(C261:C262)</f>
        <v>16860</v>
      </c>
      <c r="D259" s="54">
        <f>SUM(D261:D262)</f>
        <v>-4139</v>
      </c>
      <c r="E259" s="54">
        <f>SUM(C259:D259)</f>
        <v>12721</v>
      </c>
      <c r="F259" s="54">
        <f>SUM(F261:F262)</f>
        <v>28053</v>
      </c>
      <c r="G259" s="54">
        <f>SUM(G261:G262)</f>
        <v>258</v>
      </c>
      <c r="H259" s="54">
        <f>SUM(H261:H262)</f>
        <v>41416</v>
      </c>
      <c r="I259" s="54">
        <f>SUM(I261:I262)</f>
        <v>0</v>
      </c>
      <c r="J259" s="54">
        <f>SUM(J261:J262)</f>
        <v>-27831</v>
      </c>
      <c r="K259" s="54">
        <f t="shared" si="93"/>
        <v>13585</v>
      </c>
      <c r="L259" s="54">
        <f t="shared" ref="L259" si="94">SUM(L261:L262)</f>
        <v>0</v>
      </c>
      <c r="M259" s="54">
        <f>SUM(M261:M262)</f>
        <v>-13585</v>
      </c>
      <c r="N259" s="146">
        <f t="shared" si="89"/>
        <v>0</v>
      </c>
      <c r="O259" s="146">
        <f t="shared" ref="O259:T259" si="95">SUM(O261:O262)</f>
        <v>300</v>
      </c>
      <c r="P259" s="146">
        <f t="shared" si="95"/>
        <v>3318</v>
      </c>
      <c r="Q259" s="146">
        <f t="shared" si="95"/>
        <v>300</v>
      </c>
      <c r="R259" s="146">
        <f t="shared" si="95"/>
        <v>253</v>
      </c>
      <c r="S259" s="146">
        <f t="shared" si="95"/>
        <v>3871</v>
      </c>
      <c r="T259" s="146">
        <f t="shared" si="95"/>
        <v>0</v>
      </c>
      <c r="U259" s="146">
        <f>SUM(U261:U262)</f>
        <v>0</v>
      </c>
      <c r="V259" s="146">
        <f>SUM(V261:V262)</f>
        <v>5597</v>
      </c>
      <c r="W259" s="54">
        <f>SUM(W261:W262)</f>
        <v>11194</v>
      </c>
      <c r="X259" s="54">
        <f>SUM(X261:X262)</f>
        <v>0</v>
      </c>
      <c r="Y259" s="55">
        <f>SUM(Y261:Y262)</f>
        <v>702</v>
      </c>
      <c r="Z259" s="54">
        <f t="shared" si="92"/>
        <v>11896</v>
      </c>
      <c r="AA259" s="54">
        <f>SUM(AA261:AA262)</f>
        <v>-2151</v>
      </c>
      <c r="AB259" s="54">
        <f>SUM(AB261:AB262)</f>
        <v>0</v>
      </c>
      <c r="AC259" s="54">
        <f>SUM(AC261:AC262)</f>
        <v>0</v>
      </c>
      <c r="AD259" s="133">
        <f t="shared" si="77"/>
        <v>9745</v>
      </c>
    </row>
    <row r="260" spans="1:30" ht="14.25" customHeight="1" x14ac:dyDescent="0.25">
      <c r="A260" s="72" t="s">
        <v>54</v>
      </c>
      <c r="B260" s="64"/>
      <c r="C260" s="18"/>
      <c r="D260" s="18"/>
      <c r="E260" s="18"/>
      <c r="F260" s="18"/>
      <c r="G260" s="18"/>
      <c r="H260" s="18"/>
      <c r="I260" s="18"/>
      <c r="J260" s="18"/>
      <c r="K260" s="18"/>
      <c r="L260" s="87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9"/>
      <c r="Z260" s="140"/>
      <c r="AA260" s="140"/>
      <c r="AB260" s="140"/>
      <c r="AC260" s="140"/>
      <c r="AD260" s="127"/>
    </row>
    <row r="261" spans="1:30" ht="21.75" customHeight="1" x14ac:dyDescent="0.25">
      <c r="A261" s="20" t="s">
        <v>297</v>
      </c>
      <c r="B261" s="58"/>
      <c r="C261" s="22">
        <v>0</v>
      </c>
      <c r="D261" s="22">
        <v>0</v>
      </c>
      <c r="E261" s="40">
        <f>SUM(C261:D261)</f>
        <v>0</v>
      </c>
      <c r="F261" s="40">
        <v>0</v>
      </c>
      <c r="G261" s="40">
        <v>0</v>
      </c>
      <c r="H261" s="40">
        <f>SUM(E261:G261)</f>
        <v>0</v>
      </c>
      <c r="I261" s="40">
        <v>0</v>
      </c>
      <c r="J261" s="40">
        <v>0</v>
      </c>
      <c r="K261" s="22">
        <f t="shared" si="93"/>
        <v>0</v>
      </c>
      <c r="L261" s="73">
        <v>0</v>
      </c>
      <c r="M261" s="22">
        <f>L261-K261</f>
        <v>0</v>
      </c>
      <c r="N261" s="40" t="s">
        <v>46</v>
      </c>
      <c r="O261" s="40">
        <v>0</v>
      </c>
      <c r="P261" s="40">
        <f>L261+O261</f>
        <v>0</v>
      </c>
      <c r="Q261" s="40">
        <v>0</v>
      </c>
      <c r="R261" s="40">
        <v>0</v>
      </c>
      <c r="S261" s="40">
        <f>SUM(P261:R261)</f>
        <v>0</v>
      </c>
      <c r="T261" s="40">
        <v>0</v>
      </c>
      <c r="U261" s="40">
        <v>0</v>
      </c>
      <c r="V261" s="40">
        <v>0</v>
      </c>
      <c r="W261" s="22">
        <f t="shared" si="84"/>
        <v>0</v>
      </c>
      <c r="X261" s="22">
        <v>0</v>
      </c>
      <c r="Y261" s="23">
        <v>0</v>
      </c>
      <c r="Z261" s="140">
        <f t="shared" si="92"/>
        <v>0</v>
      </c>
      <c r="AA261" s="140">
        <v>0</v>
      </c>
      <c r="AB261" s="140">
        <v>0</v>
      </c>
      <c r="AC261" s="140">
        <v>0</v>
      </c>
      <c r="AD261" s="127">
        <f t="shared" si="77"/>
        <v>0</v>
      </c>
    </row>
    <row r="262" spans="1:30" ht="15" customHeight="1" thickBot="1" x14ac:dyDescent="0.3">
      <c r="A262" s="70" t="s">
        <v>298</v>
      </c>
      <c r="B262" s="60"/>
      <c r="C262" s="26">
        <v>16860</v>
      </c>
      <c r="D262" s="26">
        <f>-6757+2325+293</f>
        <v>-4139</v>
      </c>
      <c r="E262" s="61">
        <f>SUM(C262:D262)+254</f>
        <v>12975</v>
      </c>
      <c r="F262" s="61">
        <v>28053</v>
      </c>
      <c r="G262" s="61">
        <f>-407+665</f>
        <v>258</v>
      </c>
      <c r="H262" s="61">
        <f>SUM(E262:G262)+130</f>
        <v>41416</v>
      </c>
      <c r="I262" s="61">
        <v>0</v>
      </c>
      <c r="J262" s="61">
        <f>-1423-20794-5614</f>
        <v>-27831</v>
      </c>
      <c r="K262" s="26">
        <f t="shared" si="93"/>
        <v>13585</v>
      </c>
      <c r="L262" s="95">
        <v>0</v>
      </c>
      <c r="M262" s="26">
        <f>L262-K262</f>
        <v>-13585</v>
      </c>
      <c r="N262" s="26">
        <f t="shared" si="89"/>
        <v>0</v>
      </c>
      <c r="O262" s="26">
        <f>0+300</f>
        <v>300</v>
      </c>
      <c r="P262" s="61">
        <f>L262+O262+3018</f>
        <v>3318</v>
      </c>
      <c r="Q262" s="26">
        <v>300</v>
      </c>
      <c r="R262" s="26">
        <f>253</f>
        <v>253</v>
      </c>
      <c r="S262" s="61">
        <f>SUM(P262:R262)</f>
        <v>3871</v>
      </c>
      <c r="T262" s="61">
        <v>0</v>
      </c>
      <c r="U262" s="61">
        <v>0</v>
      </c>
      <c r="V262" s="61">
        <f>3302+2295</f>
        <v>5597</v>
      </c>
      <c r="W262" s="26">
        <f>SUM(S262:V262)+1720+6</f>
        <v>11194</v>
      </c>
      <c r="X262" s="26">
        <v>0</v>
      </c>
      <c r="Y262" s="27">
        <f>510+192</f>
        <v>702</v>
      </c>
      <c r="Z262" s="145">
        <f t="shared" si="92"/>
        <v>11896</v>
      </c>
      <c r="AA262" s="145">
        <f>736-2887</f>
        <v>-2151</v>
      </c>
      <c r="AB262" s="145">
        <v>0</v>
      </c>
      <c r="AC262" s="145">
        <v>0</v>
      </c>
      <c r="AD262" s="128">
        <f t="shared" si="77"/>
        <v>9745</v>
      </c>
    </row>
    <row r="263" spans="1:30" ht="16.350000000000001" customHeight="1" thickBot="1" x14ac:dyDescent="0.3">
      <c r="A263" s="71" t="s">
        <v>299</v>
      </c>
      <c r="B263" s="65"/>
      <c r="C263" s="54">
        <f>SUM(C265:C285)</f>
        <v>16727.21</v>
      </c>
      <c r="D263" s="54">
        <f>SUM(D265:D285)</f>
        <v>0</v>
      </c>
      <c r="E263" s="54">
        <f>SUM(C263:D263)</f>
        <v>16727.21</v>
      </c>
      <c r="F263" s="54">
        <f>SUM(F265:F285)</f>
        <v>2023.6799999999998</v>
      </c>
      <c r="G263" s="54">
        <f>SUM(G265:G285)</f>
        <v>92.3</v>
      </c>
      <c r="H263" s="54">
        <f>SUM(H265:H285)</f>
        <v>18912.89</v>
      </c>
      <c r="I263" s="54">
        <f>SUM(I265:I285)</f>
        <v>-200</v>
      </c>
      <c r="J263" s="54">
        <f>SUM(J265:J285)</f>
        <v>350.1</v>
      </c>
      <c r="K263" s="54">
        <f t="shared" si="93"/>
        <v>19062.989999999998</v>
      </c>
      <c r="L263" s="54">
        <f>SUM(L265:L285)</f>
        <v>18185.61</v>
      </c>
      <c r="M263" s="54">
        <f>SUM(M265:M285)</f>
        <v>-877.38000000000079</v>
      </c>
      <c r="N263" s="54">
        <f>L263/K263</f>
        <v>0.95397469127350965</v>
      </c>
      <c r="O263" s="54">
        <f t="shared" ref="O263:Y263" si="96">SUM(O265:O285)</f>
        <v>-146.41</v>
      </c>
      <c r="P263" s="54">
        <f t="shared" si="96"/>
        <v>18039.2</v>
      </c>
      <c r="Q263" s="54">
        <f t="shared" si="96"/>
        <v>787.23</v>
      </c>
      <c r="R263" s="54">
        <f t="shared" si="96"/>
        <v>0</v>
      </c>
      <c r="S263" s="54">
        <f t="shared" si="96"/>
        <v>18826.43</v>
      </c>
      <c r="T263" s="54">
        <f t="shared" si="96"/>
        <v>-1143.1999999999998</v>
      </c>
      <c r="U263" s="54">
        <f t="shared" si="96"/>
        <v>0</v>
      </c>
      <c r="V263" s="54">
        <f t="shared" si="96"/>
        <v>0</v>
      </c>
      <c r="W263" s="54">
        <f t="shared" si="96"/>
        <v>17983.23</v>
      </c>
      <c r="X263" s="54">
        <f t="shared" si="96"/>
        <v>0</v>
      </c>
      <c r="Y263" s="55">
        <f t="shared" si="96"/>
        <v>0</v>
      </c>
      <c r="Z263" s="54">
        <f t="shared" si="92"/>
        <v>17983.23</v>
      </c>
      <c r="AA263" s="54">
        <f>SUM(AA265:AA285)</f>
        <v>38.14</v>
      </c>
      <c r="AB263" s="54">
        <f>SUM(AB265:AB285)</f>
        <v>-1442.94</v>
      </c>
      <c r="AC263" s="54">
        <f>SUM(AC265:AC285)</f>
        <v>0</v>
      </c>
      <c r="AD263" s="133">
        <f t="shared" ref="AD263:AD326" si="97">SUM(Z263:AC263)</f>
        <v>16578.43</v>
      </c>
    </row>
    <row r="264" spans="1:30" ht="13.5" customHeight="1" x14ac:dyDescent="0.25">
      <c r="A264" s="72" t="s">
        <v>54</v>
      </c>
      <c r="B264" s="64"/>
      <c r="C264" s="18"/>
      <c r="D264" s="18"/>
      <c r="E264" s="18"/>
      <c r="F264" s="18"/>
      <c r="G264" s="18"/>
      <c r="H264" s="18"/>
      <c r="I264" s="18"/>
      <c r="J264" s="18"/>
      <c r="K264" s="18"/>
      <c r="L264" s="87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9"/>
      <c r="Z264" s="140"/>
      <c r="AA264" s="140"/>
      <c r="AB264" s="140"/>
      <c r="AC264" s="140"/>
      <c r="AD264" s="127"/>
    </row>
    <row r="265" spans="1:30" ht="26.25" customHeight="1" x14ac:dyDescent="0.25">
      <c r="A265" s="20" t="s">
        <v>300</v>
      </c>
      <c r="B265" s="58"/>
      <c r="C265" s="22">
        <v>105.93</v>
      </c>
      <c r="D265" s="22">
        <v>0</v>
      </c>
      <c r="E265" s="22">
        <f>SUM(C265:D265)</f>
        <v>105.93</v>
      </c>
      <c r="F265" s="22">
        <v>0</v>
      </c>
      <c r="G265" s="22">
        <v>0</v>
      </c>
      <c r="H265" s="22">
        <f>SUM(E265:G265)</f>
        <v>105.93</v>
      </c>
      <c r="I265" s="22">
        <v>0</v>
      </c>
      <c r="J265" s="22">
        <v>0</v>
      </c>
      <c r="K265" s="22">
        <f t="shared" si="93"/>
        <v>105.93</v>
      </c>
      <c r="L265" s="73">
        <v>0</v>
      </c>
      <c r="M265" s="22">
        <f>L265-K265</f>
        <v>-105.93</v>
      </c>
      <c r="N265" s="22">
        <f>L265/K265</f>
        <v>0</v>
      </c>
      <c r="O265" s="22">
        <v>0</v>
      </c>
      <c r="P265" s="22">
        <f>L265+O265</f>
        <v>0</v>
      </c>
      <c r="Q265" s="22">
        <v>0</v>
      </c>
      <c r="R265" s="22">
        <v>0</v>
      </c>
      <c r="S265" s="22">
        <f>SUM(P265:R265)</f>
        <v>0</v>
      </c>
      <c r="T265" s="22">
        <v>0</v>
      </c>
      <c r="U265" s="22">
        <v>0</v>
      </c>
      <c r="V265" s="22">
        <v>0</v>
      </c>
      <c r="W265" s="22">
        <f t="shared" si="84"/>
        <v>0</v>
      </c>
      <c r="X265" s="22">
        <v>0</v>
      </c>
      <c r="Y265" s="23">
        <v>0</v>
      </c>
      <c r="Z265" s="140">
        <f t="shared" si="92"/>
        <v>0</v>
      </c>
      <c r="AA265" s="140">
        <v>0</v>
      </c>
      <c r="AB265" s="140">
        <v>0</v>
      </c>
      <c r="AC265" s="140">
        <v>0</v>
      </c>
      <c r="AD265" s="127">
        <f t="shared" si="97"/>
        <v>0</v>
      </c>
    </row>
    <row r="266" spans="1:30" ht="37.5" customHeight="1" x14ac:dyDescent="0.25">
      <c r="A266" s="20" t="s">
        <v>301</v>
      </c>
      <c r="B266" s="68" t="s">
        <v>302</v>
      </c>
      <c r="C266" s="22">
        <v>860</v>
      </c>
      <c r="D266" s="22">
        <v>0</v>
      </c>
      <c r="E266" s="22">
        <f t="shared" ref="E266:E285" si="98">SUM(C266:D266)</f>
        <v>860</v>
      </c>
      <c r="F266" s="22">
        <v>-180</v>
      </c>
      <c r="G266" s="22">
        <v>0</v>
      </c>
      <c r="H266" s="22">
        <f t="shared" ref="H266:H271" si="99">SUM(E266:G266)</f>
        <v>680</v>
      </c>
      <c r="I266" s="22">
        <v>0</v>
      </c>
      <c r="J266" s="22">
        <v>0</v>
      </c>
      <c r="K266" s="22">
        <f t="shared" si="93"/>
        <v>680</v>
      </c>
      <c r="L266" s="73">
        <v>860</v>
      </c>
      <c r="M266" s="22">
        <f t="shared" ref="M266:M285" si="100">L266-K266</f>
        <v>180</v>
      </c>
      <c r="N266" s="22">
        <f t="shared" ref="N266:N285" si="101">L266/K266</f>
        <v>1.2647058823529411</v>
      </c>
      <c r="O266" s="22">
        <v>0</v>
      </c>
      <c r="P266" s="22">
        <f t="shared" ref="P266:P283" si="102">L266+O266</f>
        <v>860</v>
      </c>
      <c r="Q266" s="22">
        <v>0</v>
      </c>
      <c r="R266" s="22">
        <v>0</v>
      </c>
      <c r="S266" s="22">
        <f t="shared" ref="S266:S283" si="103">SUM(P266:R266)</f>
        <v>860</v>
      </c>
      <c r="T266" s="22">
        <v>-553.5</v>
      </c>
      <c r="U266" s="22">
        <v>0</v>
      </c>
      <c r="V266" s="22">
        <v>0</v>
      </c>
      <c r="W266" s="22">
        <f t="shared" si="84"/>
        <v>306.5</v>
      </c>
      <c r="X266" s="22">
        <v>0</v>
      </c>
      <c r="Y266" s="23">
        <v>0</v>
      </c>
      <c r="Z266" s="140">
        <f t="shared" si="92"/>
        <v>306.5</v>
      </c>
      <c r="AA266" s="140">
        <v>0</v>
      </c>
      <c r="AB266" s="140">
        <f>-194.7</f>
        <v>-194.7</v>
      </c>
      <c r="AC266" s="140">
        <v>0</v>
      </c>
      <c r="AD266" s="127">
        <f t="shared" si="97"/>
        <v>111.80000000000001</v>
      </c>
    </row>
    <row r="267" spans="1:30" ht="24.75" customHeight="1" x14ac:dyDescent="0.25">
      <c r="A267" s="20" t="s">
        <v>303</v>
      </c>
      <c r="B267" s="68" t="s">
        <v>304</v>
      </c>
      <c r="C267" s="22">
        <v>400</v>
      </c>
      <c r="D267" s="22">
        <v>0</v>
      </c>
      <c r="E267" s="22">
        <f t="shared" si="98"/>
        <v>400</v>
      </c>
      <c r="F267" s="22">
        <v>480</v>
      </c>
      <c r="G267" s="22">
        <v>0</v>
      </c>
      <c r="H267" s="22">
        <f t="shared" si="99"/>
        <v>880</v>
      </c>
      <c r="I267" s="22">
        <v>0</v>
      </c>
      <c r="J267" s="22">
        <v>0</v>
      </c>
      <c r="K267" s="22">
        <f t="shared" si="93"/>
        <v>880</v>
      </c>
      <c r="L267" s="73">
        <v>400</v>
      </c>
      <c r="M267" s="22">
        <f t="shared" si="100"/>
        <v>-480</v>
      </c>
      <c r="N267" s="22">
        <f t="shared" si="101"/>
        <v>0.45454545454545453</v>
      </c>
      <c r="O267" s="22">
        <v>0</v>
      </c>
      <c r="P267" s="22">
        <f t="shared" si="102"/>
        <v>400</v>
      </c>
      <c r="Q267" s="22">
        <v>0</v>
      </c>
      <c r="R267" s="22">
        <v>0</v>
      </c>
      <c r="S267" s="22">
        <f t="shared" si="103"/>
        <v>400</v>
      </c>
      <c r="T267" s="22">
        <v>-386.2</v>
      </c>
      <c r="U267" s="22">
        <v>0</v>
      </c>
      <c r="V267" s="22">
        <v>0</v>
      </c>
      <c r="W267" s="22">
        <f t="shared" si="84"/>
        <v>13.800000000000011</v>
      </c>
      <c r="X267" s="22">
        <v>0</v>
      </c>
      <c r="Y267" s="23">
        <v>0</v>
      </c>
      <c r="Z267" s="140">
        <f t="shared" si="92"/>
        <v>13.800000000000011</v>
      </c>
      <c r="AA267" s="140">
        <v>0</v>
      </c>
      <c r="AB267" s="140">
        <v>0</v>
      </c>
      <c r="AC267" s="140">
        <v>0</v>
      </c>
      <c r="AD267" s="127">
        <f t="shared" si="97"/>
        <v>13.800000000000011</v>
      </c>
    </row>
    <row r="268" spans="1:30" ht="36" customHeight="1" x14ac:dyDescent="0.25">
      <c r="A268" s="20" t="s">
        <v>305</v>
      </c>
      <c r="B268" s="68" t="s">
        <v>306</v>
      </c>
      <c r="C268" s="22">
        <v>300</v>
      </c>
      <c r="D268" s="22">
        <v>0</v>
      </c>
      <c r="E268" s="22">
        <f t="shared" si="98"/>
        <v>300</v>
      </c>
      <c r="F268" s="22">
        <v>0</v>
      </c>
      <c r="G268" s="22">
        <v>0</v>
      </c>
      <c r="H268" s="22">
        <f t="shared" si="99"/>
        <v>300</v>
      </c>
      <c r="I268" s="22">
        <v>0</v>
      </c>
      <c r="J268" s="22">
        <v>0</v>
      </c>
      <c r="K268" s="22">
        <f t="shared" si="93"/>
        <v>300</v>
      </c>
      <c r="L268" s="73">
        <v>300</v>
      </c>
      <c r="M268" s="22">
        <f t="shared" si="100"/>
        <v>0</v>
      </c>
      <c r="N268" s="22">
        <f t="shared" si="101"/>
        <v>1</v>
      </c>
      <c r="O268" s="22">
        <v>0</v>
      </c>
      <c r="P268" s="22">
        <f t="shared" si="102"/>
        <v>300</v>
      </c>
      <c r="Q268" s="22">
        <v>0</v>
      </c>
      <c r="R268" s="22">
        <v>0</v>
      </c>
      <c r="S268" s="22">
        <f t="shared" si="103"/>
        <v>300</v>
      </c>
      <c r="T268" s="22">
        <v>-278.89999999999998</v>
      </c>
      <c r="U268" s="22">
        <v>0</v>
      </c>
      <c r="V268" s="22">
        <v>0</v>
      </c>
      <c r="W268" s="22">
        <f t="shared" si="84"/>
        <v>21.100000000000023</v>
      </c>
      <c r="X268" s="22">
        <v>0</v>
      </c>
      <c r="Y268" s="23">
        <v>0</v>
      </c>
      <c r="Z268" s="140">
        <f t="shared" si="92"/>
        <v>21.100000000000023</v>
      </c>
      <c r="AA268" s="140">
        <v>0</v>
      </c>
      <c r="AB268" s="140">
        <v>0</v>
      </c>
      <c r="AC268" s="140">
        <v>0</v>
      </c>
      <c r="AD268" s="127">
        <f t="shared" si="97"/>
        <v>21.100000000000023</v>
      </c>
    </row>
    <row r="269" spans="1:30" ht="36.75" customHeight="1" x14ac:dyDescent="0.25">
      <c r="A269" s="20" t="s">
        <v>307</v>
      </c>
      <c r="B269" s="68" t="s">
        <v>94</v>
      </c>
      <c r="C269" s="22"/>
      <c r="D269" s="22"/>
      <c r="E269" s="22"/>
      <c r="F269" s="22"/>
      <c r="G269" s="22"/>
      <c r="H269" s="22"/>
      <c r="I269" s="22"/>
      <c r="J269" s="22"/>
      <c r="K269" s="22"/>
      <c r="L269" s="73">
        <v>0</v>
      </c>
      <c r="M269" s="22"/>
      <c r="N269" s="22"/>
      <c r="O269" s="22"/>
      <c r="P269" s="22">
        <f>40</f>
        <v>40</v>
      </c>
      <c r="Q269" s="22">
        <v>0</v>
      </c>
      <c r="R269" s="22">
        <v>0</v>
      </c>
      <c r="S269" s="22">
        <f t="shared" si="103"/>
        <v>40</v>
      </c>
      <c r="T269" s="22">
        <v>0</v>
      </c>
      <c r="U269" s="22">
        <v>0</v>
      </c>
      <c r="V269" s="22">
        <v>0</v>
      </c>
      <c r="W269" s="22">
        <f t="shared" si="84"/>
        <v>40</v>
      </c>
      <c r="X269" s="22">
        <v>0</v>
      </c>
      <c r="Y269" s="23">
        <v>0</v>
      </c>
      <c r="Z269" s="140">
        <f t="shared" si="92"/>
        <v>40</v>
      </c>
      <c r="AA269" s="140">
        <v>0</v>
      </c>
      <c r="AB269" s="140">
        <v>0</v>
      </c>
      <c r="AC269" s="140">
        <v>0</v>
      </c>
      <c r="AD269" s="127">
        <f t="shared" si="97"/>
        <v>40</v>
      </c>
    </row>
    <row r="270" spans="1:30" ht="15" customHeight="1" x14ac:dyDescent="0.25">
      <c r="A270" s="20" t="s">
        <v>308</v>
      </c>
      <c r="B270" s="68" t="s">
        <v>94</v>
      </c>
      <c r="C270" s="22">
        <v>6732</v>
      </c>
      <c r="D270" s="22">
        <v>0</v>
      </c>
      <c r="E270" s="22">
        <f t="shared" si="98"/>
        <v>6732</v>
      </c>
      <c r="F270" s="22">
        <v>0</v>
      </c>
      <c r="G270" s="22">
        <v>0</v>
      </c>
      <c r="H270" s="22">
        <f t="shared" si="99"/>
        <v>6732</v>
      </c>
      <c r="I270" s="22">
        <v>0</v>
      </c>
      <c r="J270" s="22">
        <v>0</v>
      </c>
      <c r="K270" s="22">
        <f t="shared" si="93"/>
        <v>6732</v>
      </c>
      <c r="L270" s="73">
        <v>7382</v>
      </c>
      <c r="M270" s="22">
        <f t="shared" si="100"/>
        <v>650</v>
      </c>
      <c r="N270" s="22">
        <f t="shared" si="101"/>
        <v>1.0965537730243613</v>
      </c>
      <c r="O270" s="22">
        <v>0</v>
      </c>
      <c r="P270" s="22">
        <f t="shared" si="102"/>
        <v>7382</v>
      </c>
      <c r="Q270" s="22">
        <v>0</v>
      </c>
      <c r="R270" s="22">
        <v>0</v>
      </c>
      <c r="S270" s="22">
        <f t="shared" si="103"/>
        <v>7382</v>
      </c>
      <c r="T270" s="22">
        <v>0</v>
      </c>
      <c r="U270" s="22">
        <v>0</v>
      </c>
      <c r="V270" s="22">
        <v>0</v>
      </c>
      <c r="W270" s="22">
        <f>SUM(S270:V270)</f>
        <v>7382</v>
      </c>
      <c r="X270" s="22">
        <v>0</v>
      </c>
      <c r="Y270" s="23">
        <v>0</v>
      </c>
      <c r="Z270" s="140">
        <f t="shared" si="92"/>
        <v>7382</v>
      </c>
      <c r="AA270" s="140">
        <v>0</v>
      </c>
      <c r="AB270" s="140">
        <v>0</v>
      </c>
      <c r="AC270" s="140">
        <v>0</v>
      </c>
      <c r="AD270" s="127">
        <f t="shared" si="97"/>
        <v>7382</v>
      </c>
    </row>
    <row r="271" spans="1:30" ht="39" customHeight="1" x14ac:dyDescent="0.25">
      <c r="A271" s="20" t="s">
        <v>309</v>
      </c>
      <c r="B271" s="68" t="s">
        <v>94</v>
      </c>
      <c r="C271" s="22">
        <v>550</v>
      </c>
      <c r="D271" s="22">
        <v>0</v>
      </c>
      <c r="E271" s="22">
        <f t="shared" si="98"/>
        <v>550</v>
      </c>
      <c r="F271" s="22">
        <v>0</v>
      </c>
      <c r="G271" s="22">
        <v>0</v>
      </c>
      <c r="H271" s="22">
        <f t="shared" si="99"/>
        <v>550</v>
      </c>
      <c r="I271" s="22">
        <v>0</v>
      </c>
      <c r="J271" s="22">
        <v>0</v>
      </c>
      <c r="K271" s="22">
        <f t="shared" si="93"/>
        <v>550</v>
      </c>
      <c r="L271" s="73">
        <v>650</v>
      </c>
      <c r="M271" s="22">
        <f t="shared" si="100"/>
        <v>100</v>
      </c>
      <c r="N271" s="22">
        <f t="shared" si="101"/>
        <v>1.1818181818181819</v>
      </c>
      <c r="O271" s="22">
        <v>0</v>
      </c>
      <c r="P271" s="22">
        <f t="shared" si="102"/>
        <v>650</v>
      </c>
      <c r="Q271" s="22">
        <v>0</v>
      </c>
      <c r="R271" s="22">
        <v>0</v>
      </c>
      <c r="S271" s="22">
        <f t="shared" si="103"/>
        <v>650</v>
      </c>
      <c r="T271" s="22">
        <v>0</v>
      </c>
      <c r="U271" s="22">
        <v>0</v>
      </c>
      <c r="V271" s="22">
        <f>0-650</f>
        <v>-650</v>
      </c>
      <c r="W271" s="22">
        <f>SUM(S271:V271)</f>
        <v>0</v>
      </c>
      <c r="X271" s="22">
        <v>0</v>
      </c>
      <c r="Y271" s="23">
        <v>0</v>
      </c>
      <c r="Z271" s="140">
        <f t="shared" si="92"/>
        <v>0</v>
      </c>
      <c r="AA271" s="140">
        <v>0</v>
      </c>
      <c r="AB271" s="140">
        <v>0</v>
      </c>
      <c r="AC271" s="140">
        <v>0</v>
      </c>
      <c r="AD271" s="127">
        <f t="shared" si="97"/>
        <v>0</v>
      </c>
    </row>
    <row r="272" spans="1:30" ht="30.75" customHeight="1" x14ac:dyDescent="0.25">
      <c r="A272" s="20" t="s">
        <v>310</v>
      </c>
      <c r="B272" s="68" t="s">
        <v>94</v>
      </c>
      <c r="C272" s="22"/>
      <c r="D272" s="22"/>
      <c r="E272" s="22"/>
      <c r="F272" s="22"/>
      <c r="G272" s="22"/>
      <c r="H272" s="22"/>
      <c r="I272" s="22"/>
      <c r="J272" s="22"/>
      <c r="K272" s="22"/>
      <c r="L272" s="73">
        <v>0</v>
      </c>
      <c r="M272" s="22"/>
      <c r="N272" s="22"/>
      <c r="O272" s="22"/>
      <c r="P272" s="22"/>
      <c r="Q272" s="22"/>
      <c r="R272" s="22"/>
      <c r="S272" s="22">
        <v>0</v>
      </c>
      <c r="T272" s="22">
        <v>0</v>
      </c>
      <c r="U272" s="22">
        <v>0</v>
      </c>
      <c r="V272" s="22">
        <f>650</f>
        <v>650</v>
      </c>
      <c r="W272" s="22">
        <f>SUM(S272:V272)</f>
        <v>650</v>
      </c>
      <c r="X272" s="22">
        <v>0</v>
      </c>
      <c r="Y272" s="23">
        <v>0</v>
      </c>
      <c r="Z272" s="140">
        <f t="shared" si="92"/>
        <v>650</v>
      </c>
      <c r="AA272" s="140">
        <v>0</v>
      </c>
      <c r="AB272" s="140">
        <v>0</v>
      </c>
      <c r="AC272" s="140">
        <v>0</v>
      </c>
      <c r="AD272" s="127">
        <f t="shared" si="97"/>
        <v>650</v>
      </c>
    </row>
    <row r="273" spans="1:30" ht="20.25" customHeight="1" x14ac:dyDescent="0.25">
      <c r="A273" s="20" t="s">
        <v>311</v>
      </c>
      <c r="B273" s="68" t="s">
        <v>58</v>
      </c>
      <c r="C273" s="22"/>
      <c r="D273" s="22"/>
      <c r="E273" s="22"/>
      <c r="F273" s="22"/>
      <c r="G273" s="22"/>
      <c r="H273" s="22"/>
      <c r="I273" s="22"/>
      <c r="J273" s="22"/>
      <c r="K273" s="22"/>
      <c r="L273" s="73">
        <v>0</v>
      </c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>
        <f>40</f>
        <v>40</v>
      </c>
      <c r="X273" s="22">
        <v>0</v>
      </c>
      <c r="Y273" s="23">
        <v>0</v>
      </c>
      <c r="Z273" s="140">
        <f t="shared" si="92"/>
        <v>40</v>
      </c>
      <c r="AA273" s="140">
        <f>38.14</f>
        <v>38.14</v>
      </c>
      <c r="AB273" s="140">
        <v>0</v>
      </c>
      <c r="AC273" s="140">
        <v>0</v>
      </c>
      <c r="AD273" s="127">
        <f t="shared" si="97"/>
        <v>78.14</v>
      </c>
    </row>
    <row r="274" spans="1:30" ht="20.25" customHeight="1" x14ac:dyDescent="0.25">
      <c r="A274" s="20" t="s">
        <v>312</v>
      </c>
      <c r="B274" s="68" t="s">
        <v>313</v>
      </c>
      <c r="C274" s="22"/>
      <c r="D274" s="22"/>
      <c r="E274" s="22"/>
      <c r="F274" s="22"/>
      <c r="G274" s="22"/>
      <c r="H274" s="22"/>
      <c r="I274" s="22"/>
      <c r="J274" s="22"/>
      <c r="K274" s="22"/>
      <c r="L274" s="73">
        <v>0</v>
      </c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>
        <f>60</f>
        <v>60</v>
      </c>
      <c r="X274" s="22">
        <v>0</v>
      </c>
      <c r="Y274" s="23">
        <v>0</v>
      </c>
      <c r="Z274" s="140">
        <f t="shared" si="92"/>
        <v>60</v>
      </c>
      <c r="AA274" s="140">
        <v>0</v>
      </c>
      <c r="AB274" s="140">
        <v>0</v>
      </c>
      <c r="AC274" s="140">
        <v>0</v>
      </c>
      <c r="AD274" s="127">
        <f t="shared" si="97"/>
        <v>60</v>
      </c>
    </row>
    <row r="275" spans="1:30" ht="35.25" customHeight="1" x14ac:dyDescent="0.25">
      <c r="A275" s="20" t="s">
        <v>314</v>
      </c>
      <c r="B275" s="68"/>
      <c r="C275" s="22">
        <v>240</v>
      </c>
      <c r="D275" s="22">
        <v>0</v>
      </c>
      <c r="E275" s="22">
        <f t="shared" si="98"/>
        <v>240</v>
      </c>
      <c r="F275" s="22">
        <v>0</v>
      </c>
      <c r="G275" s="22">
        <v>0</v>
      </c>
      <c r="H275" s="22">
        <f>SUM(E275:G275)</f>
        <v>240</v>
      </c>
      <c r="I275" s="22">
        <v>0</v>
      </c>
      <c r="J275" s="22">
        <v>0</v>
      </c>
      <c r="K275" s="22">
        <f t="shared" si="93"/>
        <v>240</v>
      </c>
      <c r="L275" s="73">
        <v>240</v>
      </c>
      <c r="M275" s="22">
        <f t="shared" si="100"/>
        <v>0</v>
      </c>
      <c r="N275" s="22">
        <f t="shared" si="101"/>
        <v>1</v>
      </c>
      <c r="O275" s="22">
        <v>0</v>
      </c>
      <c r="P275" s="22">
        <f t="shared" si="102"/>
        <v>240</v>
      </c>
      <c r="Q275" s="22">
        <v>0</v>
      </c>
      <c r="R275" s="22">
        <v>0</v>
      </c>
      <c r="S275" s="22">
        <f t="shared" si="103"/>
        <v>240</v>
      </c>
      <c r="T275" s="22">
        <v>0</v>
      </c>
      <c r="U275" s="22">
        <v>0</v>
      </c>
      <c r="V275" s="22">
        <v>0</v>
      </c>
      <c r="W275" s="22">
        <f t="shared" si="84"/>
        <v>240</v>
      </c>
      <c r="X275" s="22">
        <v>0</v>
      </c>
      <c r="Y275" s="23">
        <v>0</v>
      </c>
      <c r="Z275" s="140">
        <f t="shared" si="92"/>
        <v>240</v>
      </c>
      <c r="AA275" s="140">
        <v>0</v>
      </c>
      <c r="AB275" s="140">
        <v>0</v>
      </c>
      <c r="AC275" s="140">
        <v>0</v>
      </c>
      <c r="AD275" s="127">
        <f t="shared" si="97"/>
        <v>240</v>
      </c>
    </row>
    <row r="276" spans="1:30" ht="15" customHeight="1" x14ac:dyDescent="0.25">
      <c r="A276" s="69" t="s">
        <v>315</v>
      </c>
      <c r="B276" s="68" t="s">
        <v>316</v>
      </c>
      <c r="C276" s="22">
        <v>400</v>
      </c>
      <c r="D276" s="22">
        <v>0</v>
      </c>
      <c r="E276" s="22">
        <f t="shared" si="98"/>
        <v>400</v>
      </c>
      <c r="F276" s="22">
        <v>0</v>
      </c>
      <c r="G276" s="22">
        <v>0</v>
      </c>
      <c r="H276" s="22">
        <f t="shared" ref="H276:H283" si="104">SUM(E276:G276)</f>
        <v>400</v>
      </c>
      <c r="I276" s="22">
        <v>0</v>
      </c>
      <c r="J276" s="22">
        <v>0</v>
      </c>
      <c r="K276" s="22">
        <f t="shared" si="93"/>
        <v>400</v>
      </c>
      <c r="L276" s="73">
        <v>400</v>
      </c>
      <c r="M276" s="22">
        <f t="shared" si="100"/>
        <v>0</v>
      </c>
      <c r="N276" s="22">
        <f t="shared" si="101"/>
        <v>1</v>
      </c>
      <c r="O276" s="22">
        <v>0</v>
      </c>
      <c r="P276" s="22">
        <f t="shared" si="102"/>
        <v>400</v>
      </c>
      <c r="Q276" s="22">
        <v>0</v>
      </c>
      <c r="R276" s="22">
        <v>0</v>
      </c>
      <c r="S276" s="22">
        <f t="shared" si="103"/>
        <v>400</v>
      </c>
      <c r="T276" s="22">
        <v>0</v>
      </c>
      <c r="U276" s="22">
        <v>0</v>
      </c>
      <c r="V276" s="22">
        <v>0</v>
      </c>
      <c r="W276" s="22">
        <f t="shared" ref="W276:W340" si="105">SUM(S276:V276)</f>
        <v>400</v>
      </c>
      <c r="X276" s="22">
        <v>0</v>
      </c>
      <c r="Y276" s="23">
        <v>0</v>
      </c>
      <c r="Z276" s="140">
        <f t="shared" si="92"/>
        <v>400</v>
      </c>
      <c r="AA276" s="140">
        <v>0</v>
      </c>
      <c r="AB276" s="140">
        <v>0</v>
      </c>
      <c r="AC276" s="140">
        <v>0</v>
      </c>
      <c r="AD276" s="127">
        <f t="shared" si="97"/>
        <v>400</v>
      </c>
    </row>
    <row r="277" spans="1:30" ht="26.25" customHeight="1" x14ac:dyDescent="0.25">
      <c r="A277" s="20" t="s">
        <v>317</v>
      </c>
      <c r="B277" s="68"/>
      <c r="C277" s="22">
        <v>5</v>
      </c>
      <c r="D277" s="22">
        <v>0</v>
      </c>
      <c r="E277" s="22">
        <f t="shared" si="98"/>
        <v>5</v>
      </c>
      <c r="F277" s="22">
        <v>0</v>
      </c>
      <c r="G277" s="22">
        <v>0</v>
      </c>
      <c r="H277" s="22">
        <f t="shared" si="104"/>
        <v>5</v>
      </c>
      <c r="I277" s="22">
        <v>0</v>
      </c>
      <c r="J277" s="22">
        <v>0</v>
      </c>
      <c r="K277" s="22">
        <f t="shared" si="93"/>
        <v>5</v>
      </c>
      <c r="L277" s="73">
        <v>5</v>
      </c>
      <c r="M277" s="22">
        <f t="shared" si="100"/>
        <v>0</v>
      </c>
      <c r="N277" s="22">
        <f t="shared" si="101"/>
        <v>1</v>
      </c>
      <c r="O277" s="22">
        <v>0</v>
      </c>
      <c r="P277" s="22">
        <f t="shared" si="102"/>
        <v>5</v>
      </c>
      <c r="Q277" s="22">
        <v>0</v>
      </c>
      <c r="R277" s="22">
        <v>0</v>
      </c>
      <c r="S277" s="22">
        <f t="shared" si="103"/>
        <v>5</v>
      </c>
      <c r="T277" s="22">
        <v>0</v>
      </c>
      <c r="U277" s="22">
        <v>0</v>
      </c>
      <c r="V277" s="22">
        <v>0</v>
      </c>
      <c r="W277" s="22">
        <f t="shared" si="105"/>
        <v>5</v>
      </c>
      <c r="X277" s="22">
        <v>0</v>
      </c>
      <c r="Y277" s="23">
        <v>0</v>
      </c>
      <c r="Z277" s="140">
        <f t="shared" si="92"/>
        <v>5</v>
      </c>
      <c r="AA277" s="140">
        <v>0</v>
      </c>
      <c r="AB277" s="140">
        <v>0</v>
      </c>
      <c r="AC277" s="140">
        <v>0</v>
      </c>
      <c r="AD277" s="127">
        <f t="shared" si="97"/>
        <v>5</v>
      </c>
    </row>
    <row r="278" spans="1:30" ht="27.75" customHeight="1" x14ac:dyDescent="0.25">
      <c r="A278" s="20" t="s">
        <v>318</v>
      </c>
      <c r="B278" s="68"/>
      <c r="C278" s="22">
        <v>70</v>
      </c>
      <c r="D278" s="22">
        <v>0</v>
      </c>
      <c r="E278" s="22">
        <f t="shared" si="98"/>
        <v>70</v>
      </c>
      <c r="F278" s="22">
        <v>0</v>
      </c>
      <c r="G278" s="22">
        <v>0</v>
      </c>
      <c r="H278" s="22">
        <f t="shared" si="104"/>
        <v>70</v>
      </c>
      <c r="I278" s="22">
        <v>0</v>
      </c>
      <c r="J278" s="22">
        <v>0</v>
      </c>
      <c r="K278" s="22">
        <f t="shared" si="93"/>
        <v>70</v>
      </c>
      <c r="L278" s="73">
        <v>70</v>
      </c>
      <c r="M278" s="22">
        <f t="shared" si="100"/>
        <v>0</v>
      </c>
      <c r="N278" s="22">
        <f t="shared" si="101"/>
        <v>1</v>
      </c>
      <c r="O278" s="22">
        <v>0</v>
      </c>
      <c r="P278" s="22">
        <f t="shared" si="102"/>
        <v>70</v>
      </c>
      <c r="Q278" s="22">
        <v>0</v>
      </c>
      <c r="R278" s="22">
        <v>0</v>
      </c>
      <c r="S278" s="22">
        <f t="shared" si="103"/>
        <v>70</v>
      </c>
      <c r="T278" s="22">
        <v>0</v>
      </c>
      <c r="U278" s="22">
        <v>0</v>
      </c>
      <c r="V278" s="22">
        <v>0</v>
      </c>
      <c r="W278" s="22">
        <f t="shared" si="105"/>
        <v>70</v>
      </c>
      <c r="X278" s="22">
        <v>0</v>
      </c>
      <c r="Y278" s="23">
        <v>0</v>
      </c>
      <c r="Z278" s="140">
        <f t="shared" si="92"/>
        <v>70</v>
      </c>
      <c r="AA278" s="140">
        <v>0</v>
      </c>
      <c r="AB278" s="140">
        <v>0</v>
      </c>
      <c r="AC278" s="140">
        <v>0</v>
      </c>
      <c r="AD278" s="127">
        <f t="shared" si="97"/>
        <v>70</v>
      </c>
    </row>
    <row r="279" spans="1:30" ht="21.75" customHeight="1" x14ac:dyDescent="0.25">
      <c r="A279" s="20" t="s">
        <v>319</v>
      </c>
      <c r="B279" s="68"/>
      <c r="C279" s="22">
        <v>300</v>
      </c>
      <c r="D279" s="22">
        <v>0</v>
      </c>
      <c r="E279" s="22">
        <f t="shared" si="98"/>
        <v>300</v>
      </c>
      <c r="F279" s="22">
        <v>0</v>
      </c>
      <c r="G279" s="22">
        <v>0</v>
      </c>
      <c r="H279" s="22">
        <f t="shared" si="104"/>
        <v>300</v>
      </c>
      <c r="I279" s="22">
        <v>0</v>
      </c>
      <c r="J279" s="22">
        <v>0</v>
      </c>
      <c r="K279" s="22">
        <f t="shared" si="93"/>
        <v>300</v>
      </c>
      <c r="L279" s="73">
        <v>300</v>
      </c>
      <c r="M279" s="22">
        <f t="shared" si="100"/>
        <v>0</v>
      </c>
      <c r="N279" s="22">
        <f t="shared" si="101"/>
        <v>1</v>
      </c>
      <c r="O279" s="22">
        <v>0</v>
      </c>
      <c r="P279" s="22">
        <f t="shared" si="102"/>
        <v>300</v>
      </c>
      <c r="Q279" s="22">
        <v>180</v>
      </c>
      <c r="R279" s="22">
        <v>0</v>
      </c>
      <c r="S279" s="22">
        <f t="shared" si="103"/>
        <v>480</v>
      </c>
      <c r="T279" s="22">
        <v>0</v>
      </c>
      <c r="U279" s="22">
        <v>0</v>
      </c>
      <c r="V279" s="22">
        <v>0</v>
      </c>
      <c r="W279" s="22">
        <f t="shared" si="105"/>
        <v>480</v>
      </c>
      <c r="X279" s="22">
        <v>0</v>
      </c>
      <c r="Y279" s="23">
        <v>0</v>
      </c>
      <c r="Z279" s="140">
        <f t="shared" si="92"/>
        <v>480</v>
      </c>
      <c r="AA279" s="140">
        <v>0</v>
      </c>
      <c r="AB279" s="140">
        <f>-46</f>
        <v>-46</v>
      </c>
      <c r="AC279" s="140">
        <v>0</v>
      </c>
      <c r="AD279" s="127">
        <f t="shared" si="97"/>
        <v>434</v>
      </c>
    </row>
    <row r="280" spans="1:30" ht="15" customHeight="1" x14ac:dyDescent="0.25">
      <c r="A280" s="69" t="s">
        <v>320</v>
      </c>
      <c r="B280" s="68"/>
      <c r="C280" s="22">
        <v>2</v>
      </c>
      <c r="D280" s="22">
        <v>0</v>
      </c>
      <c r="E280" s="22">
        <f t="shared" si="98"/>
        <v>2</v>
      </c>
      <c r="F280" s="22">
        <v>0</v>
      </c>
      <c r="G280" s="22">
        <v>0</v>
      </c>
      <c r="H280" s="22">
        <f t="shared" si="104"/>
        <v>2</v>
      </c>
      <c r="I280" s="22">
        <v>0</v>
      </c>
      <c r="J280" s="22">
        <v>0</v>
      </c>
      <c r="K280" s="22">
        <f t="shared" si="93"/>
        <v>2</v>
      </c>
      <c r="L280" s="73">
        <v>2</v>
      </c>
      <c r="M280" s="22">
        <f t="shared" si="100"/>
        <v>0</v>
      </c>
      <c r="N280" s="22">
        <f t="shared" si="101"/>
        <v>1</v>
      </c>
      <c r="O280" s="22">
        <v>0</v>
      </c>
      <c r="P280" s="22">
        <f t="shared" si="102"/>
        <v>2</v>
      </c>
      <c r="Q280" s="22">
        <v>0</v>
      </c>
      <c r="R280" s="22">
        <v>0</v>
      </c>
      <c r="S280" s="22">
        <f t="shared" si="103"/>
        <v>2</v>
      </c>
      <c r="T280" s="22">
        <v>0</v>
      </c>
      <c r="U280" s="22">
        <v>0</v>
      </c>
      <c r="V280" s="22">
        <v>0</v>
      </c>
      <c r="W280" s="22">
        <f t="shared" si="105"/>
        <v>2</v>
      </c>
      <c r="X280" s="22">
        <v>0</v>
      </c>
      <c r="Y280" s="23">
        <v>0</v>
      </c>
      <c r="Z280" s="140">
        <f t="shared" si="92"/>
        <v>2</v>
      </c>
      <c r="AA280" s="140">
        <v>0</v>
      </c>
      <c r="AB280" s="140">
        <v>0</v>
      </c>
      <c r="AC280" s="140">
        <v>0</v>
      </c>
      <c r="AD280" s="127">
        <f t="shared" si="97"/>
        <v>2</v>
      </c>
    </row>
    <row r="281" spans="1:30" ht="15" customHeight="1" x14ac:dyDescent="0.25">
      <c r="A281" s="69" t="s">
        <v>321</v>
      </c>
      <c r="B281" s="68"/>
      <c r="C281" s="22">
        <v>188</v>
      </c>
      <c r="D281" s="22">
        <v>0</v>
      </c>
      <c r="E281" s="22">
        <f t="shared" si="98"/>
        <v>188</v>
      </c>
      <c r="F281" s="22">
        <v>0</v>
      </c>
      <c r="G281" s="22">
        <v>0</v>
      </c>
      <c r="H281" s="22">
        <f t="shared" si="104"/>
        <v>188</v>
      </c>
      <c r="I281" s="22">
        <v>0</v>
      </c>
      <c r="J281" s="22">
        <v>0</v>
      </c>
      <c r="K281" s="22">
        <f t="shared" si="93"/>
        <v>188</v>
      </c>
      <c r="L281" s="73">
        <v>188</v>
      </c>
      <c r="M281" s="22">
        <f t="shared" si="100"/>
        <v>0</v>
      </c>
      <c r="N281" s="22">
        <f t="shared" si="101"/>
        <v>1</v>
      </c>
      <c r="O281" s="22">
        <v>0</v>
      </c>
      <c r="P281" s="22">
        <f t="shared" si="102"/>
        <v>188</v>
      </c>
      <c r="Q281" s="22">
        <v>0</v>
      </c>
      <c r="R281" s="22">
        <v>0</v>
      </c>
      <c r="S281" s="22">
        <f t="shared" si="103"/>
        <v>188</v>
      </c>
      <c r="T281" s="22">
        <v>0</v>
      </c>
      <c r="U281" s="22">
        <v>0</v>
      </c>
      <c r="V281" s="22">
        <v>0</v>
      </c>
      <c r="W281" s="22">
        <f t="shared" si="105"/>
        <v>188</v>
      </c>
      <c r="X281" s="22">
        <v>0</v>
      </c>
      <c r="Y281" s="23">
        <v>0</v>
      </c>
      <c r="Z281" s="140">
        <f t="shared" si="92"/>
        <v>188</v>
      </c>
      <c r="AA281" s="140">
        <v>0</v>
      </c>
      <c r="AB281" s="140">
        <v>0</v>
      </c>
      <c r="AC281" s="140">
        <v>0</v>
      </c>
      <c r="AD281" s="127">
        <f t="shared" si="97"/>
        <v>188</v>
      </c>
    </row>
    <row r="282" spans="1:30" ht="23.25" customHeight="1" x14ac:dyDescent="0.25">
      <c r="A282" s="20" t="s">
        <v>322</v>
      </c>
      <c r="B282" s="68"/>
      <c r="C282" s="22">
        <v>15</v>
      </c>
      <c r="D282" s="22">
        <v>0</v>
      </c>
      <c r="E282" s="22">
        <f t="shared" si="98"/>
        <v>15</v>
      </c>
      <c r="F282" s="22">
        <v>0</v>
      </c>
      <c r="G282" s="22">
        <v>0</v>
      </c>
      <c r="H282" s="22">
        <f t="shared" si="104"/>
        <v>15</v>
      </c>
      <c r="I282" s="22">
        <v>0</v>
      </c>
      <c r="J282" s="22">
        <v>0</v>
      </c>
      <c r="K282" s="22">
        <f t="shared" si="93"/>
        <v>15</v>
      </c>
      <c r="L282" s="73">
        <v>15</v>
      </c>
      <c r="M282" s="22">
        <f t="shared" si="100"/>
        <v>0</v>
      </c>
      <c r="N282" s="22">
        <f t="shared" si="101"/>
        <v>1</v>
      </c>
      <c r="O282" s="22">
        <v>0</v>
      </c>
      <c r="P282" s="22">
        <f t="shared" si="102"/>
        <v>15</v>
      </c>
      <c r="Q282" s="22">
        <v>0</v>
      </c>
      <c r="R282" s="22">
        <v>0</v>
      </c>
      <c r="S282" s="22">
        <f t="shared" si="103"/>
        <v>15</v>
      </c>
      <c r="T282" s="22">
        <v>0</v>
      </c>
      <c r="U282" s="22">
        <v>0</v>
      </c>
      <c r="V282" s="22">
        <v>0</v>
      </c>
      <c r="W282" s="22">
        <f t="shared" si="105"/>
        <v>15</v>
      </c>
      <c r="X282" s="22">
        <v>0</v>
      </c>
      <c r="Y282" s="23">
        <v>0</v>
      </c>
      <c r="Z282" s="140">
        <f t="shared" si="92"/>
        <v>15</v>
      </c>
      <c r="AA282" s="140">
        <v>0</v>
      </c>
      <c r="AB282" s="140">
        <v>0</v>
      </c>
      <c r="AC282" s="140">
        <v>0</v>
      </c>
      <c r="AD282" s="127">
        <f t="shared" si="97"/>
        <v>15</v>
      </c>
    </row>
    <row r="283" spans="1:30" ht="15" customHeight="1" x14ac:dyDescent="0.25">
      <c r="A283" s="20" t="s">
        <v>323</v>
      </c>
      <c r="B283" s="68"/>
      <c r="C283" s="22">
        <v>500</v>
      </c>
      <c r="D283" s="22">
        <v>0</v>
      </c>
      <c r="E283" s="22">
        <f t="shared" si="98"/>
        <v>500</v>
      </c>
      <c r="F283" s="22">
        <v>700</v>
      </c>
      <c r="G283" s="22">
        <v>0</v>
      </c>
      <c r="H283" s="22">
        <f t="shared" si="104"/>
        <v>1200</v>
      </c>
      <c r="I283" s="22">
        <v>-200</v>
      </c>
      <c r="J283" s="22">
        <v>0</v>
      </c>
      <c r="K283" s="22">
        <f t="shared" si="93"/>
        <v>1000</v>
      </c>
      <c r="L283" s="73">
        <v>500</v>
      </c>
      <c r="M283" s="22">
        <f t="shared" si="100"/>
        <v>-500</v>
      </c>
      <c r="N283" s="22">
        <f t="shared" si="101"/>
        <v>0.5</v>
      </c>
      <c r="O283" s="22">
        <v>0</v>
      </c>
      <c r="P283" s="22">
        <f t="shared" si="102"/>
        <v>500</v>
      </c>
      <c r="Q283" s="22">
        <v>10</v>
      </c>
      <c r="R283" s="22">
        <v>0</v>
      </c>
      <c r="S283" s="22">
        <f t="shared" si="103"/>
        <v>510</v>
      </c>
      <c r="T283" s="22">
        <v>0</v>
      </c>
      <c r="U283" s="22">
        <v>0</v>
      </c>
      <c r="V283" s="22">
        <v>0</v>
      </c>
      <c r="W283" s="22">
        <f t="shared" si="105"/>
        <v>510</v>
      </c>
      <c r="X283" s="22">
        <v>0</v>
      </c>
      <c r="Y283" s="23">
        <v>0</v>
      </c>
      <c r="Z283" s="140">
        <f t="shared" si="92"/>
        <v>510</v>
      </c>
      <c r="AA283" s="140">
        <v>0</v>
      </c>
      <c r="AB283" s="140">
        <f>-510</f>
        <v>-510</v>
      </c>
      <c r="AC283" s="140">
        <v>0</v>
      </c>
      <c r="AD283" s="127">
        <f t="shared" si="97"/>
        <v>0</v>
      </c>
    </row>
    <row r="284" spans="1:30" ht="42.75" customHeight="1" x14ac:dyDescent="0.25">
      <c r="A284" s="20" t="s">
        <v>324</v>
      </c>
      <c r="B284" s="68"/>
      <c r="C284" s="22"/>
      <c r="D284" s="22"/>
      <c r="E284" s="22"/>
      <c r="F284" s="22"/>
      <c r="G284" s="22"/>
      <c r="H284" s="22"/>
      <c r="I284" s="22"/>
      <c r="J284" s="22"/>
      <c r="K284" s="22"/>
      <c r="L284" s="73">
        <v>0</v>
      </c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>
        <f>200</f>
        <v>200</v>
      </c>
      <c r="X284" s="22">
        <v>0</v>
      </c>
      <c r="Y284" s="23">
        <v>0</v>
      </c>
      <c r="Z284" s="144">
        <f t="shared" si="92"/>
        <v>200</v>
      </c>
      <c r="AA284" s="144">
        <v>0</v>
      </c>
      <c r="AB284" s="144">
        <v>0</v>
      </c>
      <c r="AC284" s="140">
        <v>0</v>
      </c>
      <c r="AD284" s="127">
        <f t="shared" si="97"/>
        <v>200</v>
      </c>
    </row>
    <row r="285" spans="1:30" ht="28.5" customHeight="1" thickBot="1" x14ac:dyDescent="0.3">
      <c r="A285" s="24" t="s">
        <v>325</v>
      </c>
      <c r="B285" s="60"/>
      <c r="C285" s="26">
        <v>6059.28</v>
      </c>
      <c r="D285" s="26">
        <v>0</v>
      </c>
      <c r="E285" s="26">
        <f t="shared" si="98"/>
        <v>6059.28</v>
      </c>
      <c r="F285" s="26">
        <v>1023.68</v>
      </c>
      <c r="G285" s="26">
        <f>-27+119.3</f>
        <v>92.3</v>
      </c>
      <c r="H285" s="26">
        <f>SUM(E285:G285)+69.7</f>
        <v>7244.96</v>
      </c>
      <c r="I285" s="26">
        <v>0</v>
      </c>
      <c r="J285" s="26">
        <f>326.7+121+204.9-302.5</f>
        <v>350.1</v>
      </c>
      <c r="K285" s="26">
        <f t="shared" si="93"/>
        <v>7595.06</v>
      </c>
      <c r="L285" s="95">
        <v>6873.61</v>
      </c>
      <c r="M285" s="26">
        <f t="shared" si="100"/>
        <v>-721.45000000000073</v>
      </c>
      <c r="N285" s="26">
        <f t="shared" si="101"/>
        <v>0.90501062532751542</v>
      </c>
      <c r="O285" s="26">
        <f>-146.41</f>
        <v>-146.41</v>
      </c>
      <c r="P285" s="26">
        <f>L285+O285-40</f>
        <v>6687.2</v>
      </c>
      <c r="Q285" s="26">
        <v>597.23</v>
      </c>
      <c r="R285" s="26">
        <v>0</v>
      </c>
      <c r="S285" s="26">
        <f>SUM(P285:R285)</f>
        <v>7284.43</v>
      </c>
      <c r="T285" s="26">
        <v>75.400000000000006</v>
      </c>
      <c r="U285" s="26">
        <v>0</v>
      </c>
      <c r="V285" s="26">
        <v>0</v>
      </c>
      <c r="W285" s="26">
        <f t="shared" si="105"/>
        <v>7359.83</v>
      </c>
      <c r="X285" s="26">
        <v>0</v>
      </c>
      <c r="Y285" s="27">
        <v>0</v>
      </c>
      <c r="Z285" s="141">
        <f t="shared" si="92"/>
        <v>7359.83</v>
      </c>
      <c r="AA285" s="141">
        <v>0</v>
      </c>
      <c r="AB285" s="141">
        <f>-692.24</f>
        <v>-692.24</v>
      </c>
      <c r="AC285" s="141">
        <v>0</v>
      </c>
      <c r="AD285" s="128">
        <f t="shared" si="97"/>
        <v>6667.59</v>
      </c>
    </row>
    <row r="286" spans="1:30" ht="16.350000000000001" customHeight="1" thickBot="1" x14ac:dyDescent="0.3">
      <c r="A286" s="71" t="s">
        <v>326</v>
      </c>
      <c r="B286" s="65"/>
      <c r="C286" s="54">
        <f>SUM(C288:C290)</f>
        <v>51889</v>
      </c>
      <c r="D286" s="54">
        <f>SUM(D288:D290)</f>
        <v>0</v>
      </c>
      <c r="E286" s="54">
        <f>SUM(C286:D286)</f>
        <v>51889</v>
      </c>
      <c r="F286" s="54">
        <f>SUM(F288:F290)</f>
        <v>0</v>
      </c>
      <c r="G286" s="54">
        <f>SUM(G288:G290)</f>
        <v>0</v>
      </c>
      <c r="H286" s="54">
        <f>SUM(H288:H290)</f>
        <v>51889</v>
      </c>
      <c r="I286" s="54">
        <f>SUM(I288:I290)</f>
        <v>0</v>
      </c>
      <c r="J286" s="54">
        <f>SUM(J288:J290)</f>
        <v>0</v>
      </c>
      <c r="K286" s="54">
        <f t="shared" si="93"/>
        <v>51889</v>
      </c>
      <c r="L286" s="54">
        <f t="shared" ref="L286" si="106">SUM(L288:L290)</f>
        <v>54002</v>
      </c>
      <c r="M286" s="54">
        <f>SUM(M288:M290)</f>
        <v>2113</v>
      </c>
      <c r="N286" s="54">
        <f>L286/K286</f>
        <v>1.0407215402108347</v>
      </c>
      <c r="O286" s="54">
        <f t="shared" ref="O286:T286" si="107">SUM(O288:O290)</f>
        <v>0</v>
      </c>
      <c r="P286" s="54">
        <f t="shared" si="107"/>
        <v>54002</v>
      </c>
      <c r="Q286" s="54">
        <f t="shared" si="107"/>
        <v>1088</v>
      </c>
      <c r="R286" s="54">
        <f t="shared" si="107"/>
        <v>-52.1</v>
      </c>
      <c r="S286" s="54">
        <f t="shared" si="107"/>
        <v>55037.9</v>
      </c>
      <c r="T286" s="54">
        <f t="shared" si="107"/>
        <v>0</v>
      </c>
      <c r="U286" s="54">
        <f>SUM(U288:U290)</f>
        <v>0</v>
      </c>
      <c r="V286" s="54">
        <f>SUM(V288:V290)</f>
        <v>0</v>
      </c>
      <c r="W286" s="54">
        <f>SUM(W288:W290)</f>
        <v>55037.9</v>
      </c>
      <c r="X286" s="54">
        <f>SUM(X288:X290)</f>
        <v>0</v>
      </c>
      <c r="Y286" s="55">
        <f>SUM(Y288:Y290)</f>
        <v>0</v>
      </c>
      <c r="Z286" s="54">
        <f t="shared" si="92"/>
        <v>55037.9</v>
      </c>
      <c r="AA286" s="54">
        <f>SUM(AA288:AA290)</f>
        <v>0</v>
      </c>
      <c r="AB286" s="54">
        <f>SUM(AB288:AB290)</f>
        <v>-900</v>
      </c>
      <c r="AC286" s="54">
        <f>SUM(AC288:AC290)</f>
        <v>0</v>
      </c>
      <c r="AD286" s="133">
        <f t="shared" si="97"/>
        <v>54137.9</v>
      </c>
    </row>
    <row r="287" spans="1:30" ht="13.5" customHeight="1" x14ac:dyDescent="0.25">
      <c r="A287" s="72" t="s">
        <v>54</v>
      </c>
      <c r="B287" s="64"/>
      <c r="C287" s="18"/>
      <c r="D287" s="18"/>
      <c r="E287" s="18"/>
      <c r="F287" s="18"/>
      <c r="G287" s="18"/>
      <c r="H287" s="18"/>
      <c r="I287" s="18"/>
      <c r="J287" s="18"/>
      <c r="K287" s="18"/>
      <c r="L287" s="87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9"/>
      <c r="Z287" s="140"/>
      <c r="AA287" s="140"/>
      <c r="AB287" s="140"/>
      <c r="AC287" s="140"/>
      <c r="AD287" s="127"/>
    </row>
    <row r="288" spans="1:30" ht="15" customHeight="1" x14ac:dyDescent="0.25">
      <c r="A288" s="69" t="s">
        <v>327</v>
      </c>
      <c r="B288" s="58"/>
      <c r="C288" s="22">
        <v>0</v>
      </c>
      <c r="D288" s="22">
        <v>0</v>
      </c>
      <c r="E288" s="40">
        <f>SUM(C288:D288)</f>
        <v>0</v>
      </c>
      <c r="F288" s="40">
        <v>0</v>
      </c>
      <c r="G288" s="40">
        <v>0</v>
      </c>
      <c r="H288" s="40">
        <f>SUM(E288:G288)</f>
        <v>0</v>
      </c>
      <c r="I288" s="40">
        <v>0</v>
      </c>
      <c r="J288" s="40">
        <v>0</v>
      </c>
      <c r="K288" s="22">
        <f t="shared" si="93"/>
        <v>0</v>
      </c>
      <c r="L288" s="73">
        <v>0</v>
      </c>
      <c r="M288" s="22">
        <f>L288-K288</f>
        <v>0</v>
      </c>
      <c r="N288" s="22"/>
      <c r="O288" s="22">
        <v>0</v>
      </c>
      <c r="P288" s="22">
        <f>L288+O288</f>
        <v>0</v>
      </c>
      <c r="Q288" s="22">
        <v>0</v>
      </c>
      <c r="R288" s="22">
        <v>0</v>
      </c>
      <c r="S288" s="22">
        <f>SUM(P288:R288)</f>
        <v>0</v>
      </c>
      <c r="T288" s="22">
        <v>0</v>
      </c>
      <c r="U288" s="22">
        <v>0</v>
      </c>
      <c r="V288" s="22">
        <v>0</v>
      </c>
      <c r="W288" s="22">
        <f t="shared" si="105"/>
        <v>0</v>
      </c>
      <c r="X288" s="22">
        <v>0</v>
      </c>
      <c r="Y288" s="23">
        <v>0</v>
      </c>
      <c r="Z288" s="140">
        <f t="shared" si="92"/>
        <v>0</v>
      </c>
      <c r="AA288" s="140">
        <v>0</v>
      </c>
      <c r="AB288" s="140">
        <v>0</v>
      </c>
      <c r="AC288" s="140">
        <v>0</v>
      </c>
      <c r="AD288" s="127">
        <f t="shared" si="97"/>
        <v>0</v>
      </c>
    </row>
    <row r="289" spans="1:30" ht="16.5" customHeight="1" x14ac:dyDescent="0.25">
      <c r="A289" s="69" t="s">
        <v>87</v>
      </c>
      <c r="B289" s="58"/>
      <c r="C289" s="22">
        <v>250</v>
      </c>
      <c r="D289" s="22">
        <v>0</v>
      </c>
      <c r="E289" s="40">
        <f t="shared" ref="E289:E290" si="108">SUM(C289:D289)</f>
        <v>250</v>
      </c>
      <c r="F289" s="40">
        <v>0</v>
      </c>
      <c r="G289" s="40">
        <v>0</v>
      </c>
      <c r="H289" s="40">
        <f t="shared" ref="H289:H290" si="109">SUM(E289:G289)</f>
        <v>250</v>
      </c>
      <c r="I289" s="40">
        <v>0</v>
      </c>
      <c r="J289" s="40">
        <v>0</v>
      </c>
      <c r="K289" s="22">
        <f t="shared" si="93"/>
        <v>250</v>
      </c>
      <c r="L289" s="73">
        <v>230</v>
      </c>
      <c r="M289" s="22">
        <f t="shared" ref="M289:M290" si="110">L289-K289</f>
        <v>-20</v>
      </c>
      <c r="N289" s="22">
        <f t="shared" ref="N289:N290" si="111">L289/K289</f>
        <v>0.92</v>
      </c>
      <c r="O289" s="22">
        <v>0</v>
      </c>
      <c r="P289" s="22">
        <f t="shared" ref="P289:P290" si="112">L289+O289</f>
        <v>230</v>
      </c>
      <c r="Q289" s="22">
        <v>0</v>
      </c>
      <c r="R289" s="22">
        <f>2.9</f>
        <v>2.9</v>
      </c>
      <c r="S289" s="22">
        <f t="shared" ref="S289:S290" si="113">SUM(P289:R289)</f>
        <v>232.9</v>
      </c>
      <c r="T289" s="22">
        <v>0</v>
      </c>
      <c r="U289" s="22">
        <v>0</v>
      </c>
      <c r="V289" s="22">
        <v>0</v>
      </c>
      <c r="W289" s="22">
        <f t="shared" si="105"/>
        <v>232.9</v>
      </c>
      <c r="X289" s="22">
        <v>0</v>
      </c>
      <c r="Y289" s="23">
        <v>0</v>
      </c>
      <c r="Z289" s="140">
        <f t="shared" si="92"/>
        <v>232.9</v>
      </c>
      <c r="AA289" s="140">
        <v>0</v>
      </c>
      <c r="AB289" s="140">
        <v>0</v>
      </c>
      <c r="AC289" s="140">
        <v>0</v>
      </c>
      <c r="AD289" s="127">
        <f t="shared" si="97"/>
        <v>232.9</v>
      </c>
    </row>
    <row r="290" spans="1:30" ht="15.75" customHeight="1" thickBot="1" x14ac:dyDescent="0.3">
      <c r="A290" s="70" t="s">
        <v>328</v>
      </c>
      <c r="B290" s="60"/>
      <c r="C290" s="26">
        <v>51639</v>
      </c>
      <c r="D290" s="26">
        <v>0</v>
      </c>
      <c r="E290" s="61">
        <f t="shared" si="108"/>
        <v>51639</v>
      </c>
      <c r="F290" s="61">
        <v>0</v>
      </c>
      <c r="G290" s="61">
        <v>0</v>
      </c>
      <c r="H290" s="61">
        <f t="shared" si="109"/>
        <v>51639</v>
      </c>
      <c r="I290" s="61">
        <v>0</v>
      </c>
      <c r="J290" s="61">
        <v>0</v>
      </c>
      <c r="K290" s="26">
        <f t="shared" si="93"/>
        <v>51639</v>
      </c>
      <c r="L290" s="95">
        <v>53772</v>
      </c>
      <c r="M290" s="26">
        <f t="shared" si="110"/>
        <v>2133</v>
      </c>
      <c r="N290" s="26">
        <f t="shared" si="111"/>
        <v>1.0413059896589787</v>
      </c>
      <c r="O290" s="26">
        <v>0</v>
      </c>
      <c r="P290" s="26">
        <f t="shared" si="112"/>
        <v>53772</v>
      </c>
      <c r="Q290" s="26">
        <v>1088</v>
      </c>
      <c r="R290" s="26">
        <f>-51-4</f>
        <v>-55</v>
      </c>
      <c r="S290" s="26">
        <f t="shared" si="113"/>
        <v>54805</v>
      </c>
      <c r="T290" s="26">
        <v>0</v>
      </c>
      <c r="U290" s="26">
        <v>0</v>
      </c>
      <c r="V290" s="26">
        <v>0</v>
      </c>
      <c r="W290" s="26">
        <f t="shared" si="105"/>
        <v>54805</v>
      </c>
      <c r="X290" s="26">
        <v>0</v>
      </c>
      <c r="Y290" s="27">
        <v>0</v>
      </c>
      <c r="Z290" s="141">
        <f t="shared" si="92"/>
        <v>54805</v>
      </c>
      <c r="AA290" s="141">
        <v>0</v>
      </c>
      <c r="AB290" s="141">
        <f>-900</f>
        <v>-900</v>
      </c>
      <c r="AC290" s="141">
        <v>0</v>
      </c>
      <c r="AD290" s="128">
        <f t="shared" si="97"/>
        <v>53905</v>
      </c>
    </row>
    <row r="291" spans="1:30" ht="16.350000000000001" customHeight="1" thickBot="1" x14ac:dyDescent="0.3">
      <c r="A291" s="71" t="s">
        <v>329</v>
      </c>
      <c r="B291" s="65"/>
      <c r="C291" s="54">
        <f>SUM(C293:C295)</f>
        <v>15232</v>
      </c>
      <c r="D291" s="54">
        <f>SUM(D293:D295)</f>
        <v>595</v>
      </c>
      <c r="E291" s="54">
        <f>SUM(C291:D291)</f>
        <v>15827</v>
      </c>
      <c r="F291" s="54">
        <f>SUM(F293:F295)</f>
        <v>1028</v>
      </c>
      <c r="G291" s="54">
        <f>SUM(G293:G295)</f>
        <v>169.99</v>
      </c>
      <c r="H291" s="54">
        <f>SUM(H293:H295)</f>
        <v>17024.990000000002</v>
      </c>
      <c r="I291" s="54">
        <f>SUM(I293:I295)</f>
        <v>0</v>
      </c>
      <c r="J291" s="54">
        <f>SUM(J293:J295)</f>
        <v>1106.7</v>
      </c>
      <c r="K291" s="54">
        <f t="shared" si="93"/>
        <v>18131.690000000002</v>
      </c>
      <c r="L291" s="54">
        <f t="shared" ref="L291" si="114">SUM(L293:L295)</f>
        <v>23337</v>
      </c>
      <c r="M291" s="54">
        <f>SUM(M293:M295)</f>
        <v>5205.3099999999995</v>
      </c>
      <c r="N291" s="54">
        <f>L291/K291</f>
        <v>1.2870835537117609</v>
      </c>
      <c r="O291" s="54">
        <f t="shared" ref="O291:T291" si="115">SUM(O293:O295)</f>
        <v>0</v>
      </c>
      <c r="P291" s="54">
        <f t="shared" si="115"/>
        <v>23339.84</v>
      </c>
      <c r="Q291" s="54">
        <f t="shared" si="115"/>
        <v>2706</v>
      </c>
      <c r="R291" s="54">
        <f t="shared" si="115"/>
        <v>117.61000000000001</v>
      </c>
      <c r="S291" s="54">
        <f t="shared" si="115"/>
        <v>26237.45</v>
      </c>
      <c r="T291" s="54">
        <f t="shared" si="115"/>
        <v>98</v>
      </c>
      <c r="U291" s="54">
        <f>SUM(U293:U295)</f>
        <v>0</v>
      </c>
      <c r="V291" s="54">
        <f>SUM(V293:V295)</f>
        <v>-239</v>
      </c>
      <c r="W291" s="54">
        <f>SUM(W293:W295)</f>
        <v>26096.45</v>
      </c>
      <c r="X291" s="54">
        <f>SUM(X293:X295)</f>
        <v>236</v>
      </c>
      <c r="Y291" s="55">
        <f>SUM(Y293:Y295)</f>
        <v>-354</v>
      </c>
      <c r="Z291" s="54">
        <f t="shared" si="92"/>
        <v>25978.45</v>
      </c>
      <c r="AA291" s="54">
        <f>SUM(AA293:AA295)</f>
        <v>-270.8</v>
      </c>
      <c r="AB291" s="54">
        <f>SUM(AB293:AB295)</f>
        <v>-1749</v>
      </c>
      <c r="AC291" s="54">
        <f>SUM(AC293:AC295)</f>
        <v>0</v>
      </c>
      <c r="AD291" s="133">
        <f t="shared" si="97"/>
        <v>23958.65</v>
      </c>
    </row>
    <row r="292" spans="1:30" ht="15" customHeight="1" x14ac:dyDescent="0.25">
      <c r="A292" s="72" t="s">
        <v>54</v>
      </c>
      <c r="B292" s="64"/>
      <c r="C292" s="18"/>
      <c r="D292" s="18"/>
      <c r="E292" s="18"/>
      <c r="F292" s="18"/>
      <c r="G292" s="18"/>
      <c r="H292" s="18"/>
      <c r="I292" s="18"/>
      <c r="J292" s="18"/>
      <c r="K292" s="18"/>
      <c r="L292" s="87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9"/>
      <c r="Z292" s="140"/>
      <c r="AA292" s="140"/>
      <c r="AB292" s="140"/>
      <c r="AC292" s="140"/>
      <c r="AD292" s="127"/>
    </row>
    <row r="293" spans="1:30" ht="24.75" customHeight="1" x14ac:dyDescent="0.25">
      <c r="A293" s="20" t="s">
        <v>330</v>
      </c>
      <c r="B293" s="58"/>
      <c r="C293" s="22">
        <v>0</v>
      </c>
      <c r="D293" s="22">
        <v>0</v>
      </c>
      <c r="E293" s="22">
        <f>SUM(C293:D293)</f>
        <v>0</v>
      </c>
      <c r="F293" s="22">
        <v>0</v>
      </c>
      <c r="G293" s="22">
        <f>72.6</f>
        <v>72.599999999999994</v>
      </c>
      <c r="H293" s="22">
        <f>SUM(E293:G293)</f>
        <v>72.599999999999994</v>
      </c>
      <c r="I293" s="22">
        <v>0</v>
      </c>
      <c r="J293" s="22">
        <v>0</v>
      </c>
      <c r="K293" s="22">
        <f>SUM(H293:J293)</f>
        <v>72.599999999999994</v>
      </c>
      <c r="L293" s="73">
        <v>0</v>
      </c>
      <c r="M293" s="22">
        <f>L293-K293</f>
        <v>-72.599999999999994</v>
      </c>
      <c r="N293" s="22">
        <f>L293/K293</f>
        <v>0</v>
      </c>
      <c r="O293" s="22">
        <v>0</v>
      </c>
      <c r="P293" s="22">
        <f>L293+O293</f>
        <v>0</v>
      </c>
      <c r="Q293" s="22">
        <v>0</v>
      </c>
      <c r="R293" s="22">
        <v>0</v>
      </c>
      <c r="S293" s="22">
        <f>SUM(P293:R293)+72.6</f>
        <v>72.599999999999994</v>
      </c>
      <c r="T293" s="22">
        <v>0</v>
      </c>
      <c r="U293" s="22">
        <v>0</v>
      </c>
      <c r="V293" s="22">
        <v>0</v>
      </c>
      <c r="W293" s="22">
        <f t="shared" si="105"/>
        <v>72.599999999999994</v>
      </c>
      <c r="X293" s="22">
        <v>0</v>
      </c>
      <c r="Y293" s="23">
        <v>0</v>
      </c>
      <c r="Z293" s="140">
        <f t="shared" si="92"/>
        <v>72.599999999999994</v>
      </c>
      <c r="AA293" s="140">
        <v>0</v>
      </c>
      <c r="AB293" s="140">
        <v>0</v>
      </c>
      <c r="AC293" s="140">
        <v>0</v>
      </c>
      <c r="AD293" s="127">
        <f t="shared" si="97"/>
        <v>72.599999999999994</v>
      </c>
    </row>
    <row r="294" spans="1:30" ht="15" customHeight="1" x14ac:dyDescent="0.25">
      <c r="A294" s="20" t="s">
        <v>87</v>
      </c>
      <c r="B294" s="58"/>
      <c r="C294" s="22">
        <v>200</v>
      </c>
      <c r="D294" s="22">
        <v>0</v>
      </c>
      <c r="E294" s="22">
        <f t="shared" ref="E294:E295" si="116">SUM(C294:D294)</f>
        <v>200</v>
      </c>
      <c r="F294" s="22">
        <v>0</v>
      </c>
      <c r="G294" s="22">
        <f>2.39</f>
        <v>2.39</v>
      </c>
      <c r="H294" s="22">
        <f t="shared" ref="H294:H295" si="117">SUM(E294:G294)</f>
        <v>202.39</v>
      </c>
      <c r="I294" s="22">
        <v>0</v>
      </c>
      <c r="J294" s="22">
        <v>0</v>
      </c>
      <c r="K294" s="22">
        <f t="shared" si="93"/>
        <v>202.39</v>
      </c>
      <c r="L294" s="73">
        <v>100</v>
      </c>
      <c r="M294" s="22">
        <f t="shared" ref="M294:M295" si="118">L294-K294</f>
        <v>-102.38999999999999</v>
      </c>
      <c r="N294" s="22">
        <f t="shared" ref="N294:N295" si="119">L294/K294</f>
        <v>0.49409555808093286</v>
      </c>
      <c r="O294" s="22">
        <v>0</v>
      </c>
      <c r="P294" s="22">
        <f>L294+O294+2.84</f>
        <v>102.84</v>
      </c>
      <c r="Q294" s="22">
        <v>0</v>
      </c>
      <c r="R294" s="22">
        <f>1.2</f>
        <v>1.2</v>
      </c>
      <c r="S294" s="22">
        <f>SUM(P294:R294)+1.4</f>
        <v>105.44000000000001</v>
      </c>
      <c r="T294" s="22">
        <v>0</v>
      </c>
      <c r="U294" s="22">
        <v>0</v>
      </c>
      <c r="V294" s="22">
        <v>0</v>
      </c>
      <c r="W294" s="22">
        <f t="shared" si="105"/>
        <v>105.44000000000001</v>
      </c>
      <c r="X294" s="22">
        <v>0</v>
      </c>
      <c r="Y294" s="23">
        <v>0</v>
      </c>
      <c r="Z294" s="140">
        <f t="shared" si="92"/>
        <v>105.44000000000001</v>
      </c>
      <c r="AA294" s="140">
        <f>1.7</f>
        <v>1.7</v>
      </c>
      <c r="AB294" s="140">
        <v>0</v>
      </c>
      <c r="AC294" s="140">
        <v>0</v>
      </c>
      <c r="AD294" s="127">
        <f t="shared" si="97"/>
        <v>107.14000000000001</v>
      </c>
    </row>
    <row r="295" spans="1:30" ht="25.5" customHeight="1" thickBot="1" x14ac:dyDescent="0.3">
      <c r="A295" s="24" t="s">
        <v>331</v>
      </c>
      <c r="B295" s="60"/>
      <c r="C295" s="26">
        <v>15032</v>
      </c>
      <c r="D295" s="26">
        <f>-205+800</f>
        <v>595</v>
      </c>
      <c r="E295" s="26">
        <f t="shared" si="116"/>
        <v>15627</v>
      </c>
      <c r="F295" s="26">
        <v>1028</v>
      </c>
      <c r="G295" s="26">
        <f>-54+149</f>
        <v>95</v>
      </c>
      <c r="H295" s="26">
        <f t="shared" si="117"/>
        <v>16750</v>
      </c>
      <c r="I295" s="26">
        <v>0</v>
      </c>
      <c r="J295" s="26">
        <f>-54.3+21+50+1090</f>
        <v>1106.7</v>
      </c>
      <c r="K295" s="26">
        <f t="shared" si="93"/>
        <v>17856.7</v>
      </c>
      <c r="L295" s="95">
        <v>23237</v>
      </c>
      <c r="M295" s="26">
        <f t="shared" si="118"/>
        <v>5380.2999999999993</v>
      </c>
      <c r="N295" s="26">
        <f t="shared" si="119"/>
        <v>1.301304272345954</v>
      </c>
      <c r="O295" s="26">
        <v>0</v>
      </c>
      <c r="P295" s="26">
        <f t="shared" ref="P295" si="120">L295+O295</f>
        <v>23237</v>
      </c>
      <c r="Q295" s="26">
        <v>2706</v>
      </c>
      <c r="R295" s="26">
        <f>-1.6+118.01</f>
        <v>116.41000000000001</v>
      </c>
      <c r="S295" s="26">
        <f t="shared" ref="S295" si="121">SUM(P295:R295)</f>
        <v>26059.41</v>
      </c>
      <c r="T295" s="26">
        <v>98</v>
      </c>
      <c r="U295" s="26">
        <v>0</v>
      </c>
      <c r="V295" s="26">
        <f>-239</f>
        <v>-239</v>
      </c>
      <c r="W295" s="26">
        <f t="shared" si="105"/>
        <v>25918.41</v>
      </c>
      <c r="X295" s="26">
        <f>236</f>
        <v>236</v>
      </c>
      <c r="Y295" s="27">
        <f>-354</f>
        <v>-354</v>
      </c>
      <c r="Z295" s="145">
        <f t="shared" ref="Z295:Z360" si="122">SUM(W295:Y295)</f>
        <v>25800.41</v>
      </c>
      <c r="AA295" s="145">
        <f>-272.5</f>
        <v>-272.5</v>
      </c>
      <c r="AB295" s="145">
        <f>-1749</f>
        <v>-1749</v>
      </c>
      <c r="AC295" s="141">
        <v>0</v>
      </c>
      <c r="AD295" s="128">
        <f t="shared" si="97"/>
        <v>23778.91</v>
      </c>
    </row>
    <row r="296" spans="1:30" ht="25.5" customHeight="1" thickBot="1" x14ac:dyDescent="0.3">
      <c r="A296" s="96" t="s">
        <v>332</v>
      </c>
      <c r="B296" s="65"/>
      <c r="C296" s="54">
        <f>SUM(C298:C301)</f>
        <v>6785</v>
      </c>
      <c r="D296" s="54">
        <f>SUM(D298:D301)</f>
        <v>0</v>
      </c>
      <c r="E296" s="54">
        <f>SUM(C296:D296)</f>
        <v>6785</v>
      </c>
      <c r="F296" s="54">
        <f>SUM(F298:F301)</f>
        <v>9000</v>
      </c>
      <c r="G296" s="54">
        <f>SUM(G298:G301)</f>
        <v>1155.45</v>
      </c>
      <c r="H296" s="54">
        <f>SUM(H298:H301)</f>
        <v>16990.45</v>
      </c>
      <c r="I296" s="54">
        <f>SUM(I298:I301)</f>
        <v>-695</v>
      </c>
      <c r="J296" s="54">
        <f>SUM(J298:J301)</f>
        <v>6767.9600000000009</v>
      </c>
      <c r="K296" s="54">
        <f t="shared" si="93"/>
        <v>23063.410000000003</v>
      </c>
      <c r="L296" s="54">
        <f>SUM(L298:L301)</f>
        <v>7409</v>
      </c>
      <c r="M296" s="54">
        <f>SUM(M298:M301)</f>
        <v>-15654.41</v>
      </c>
      <c r="N296" s="54">
        <f>L296/K296</f>
        <v>0.32124477689985992</v>
      </c>
      <c r="O296" s="54">
        <f t="shared" ref="O296:T296" si="123">SUM(O298:O301)</f>
        <v>1440.6</v>
      </c>
      <c r="P296" s="54">
        <f t="shared" si="123"/>
        <v>8849.6</v>
      </c>
      <c r="Q296" s="54">
        <f t="shared" si="123"/>
        <v>0</v>
      </c>
      <c r="R296" s="54">
        <f t="shared" si="123"/>
        <v>379</v>
      </c>
      <c r="S296" s="54">
        <f t="shared" si="123"/>
        <v>9248.6</v>
      </c>
      <c r="T296" s="54">
        <f t="shared" si="123"/>
        <v>0</v>
      </c>
      <c r="U296" s="54">
        <f>SUM(U298:U301)</f>
        <v>0</v>
      </c>
      <c r="V296" s="54">
        <f>SUM(V298:V301)</f>
        <v>1132.9000000000001</v>
      </c>
      <c r="W296" s="54">
        <f>SUM(W298:W301)</f>
        <v>10381.799999999999</v>
      </c>
      <c r="X296" s="54">
        <f>SUM(X298:X301)</f>
        <v>0</v>
      </c>
      <c r="Y296" s="55">
        <f>SUM(Y298:Y301)</f>
        <v>0</v>
      </c>
      <c r="Z296" s="54">
        <f t="shared" si="122"/>
        <v>10381.799999999999</v>
      </c>
      <c r="AA296" s="54">
        <f>SUM(AA298:AA301)</f>
        <v>0</v>
      </c>
      <c r="AB296" s="54">
        <f>SUM(AB298:AB301)</f>
        <v>-2775</v>
      </c>
      <c r="AC296" s="54">
        <f>SUM(AC298:AC301)</f>
        <v>514.6</v>
      </c>
      <c r="AD296" s="133">
        <f t="shared" si="97"/>
        <v>8121.4</v>
      </c>
    </row>
    <row r="297" spans="1:30" ht="15" customHeight="1" x14ac:dyDescent="0.25">
      <c r="A297" s="72" t="s">
        <v>54</v>
      </c>
      <c r="B297" s="64"/>
      <c r="C297" s="18"/>
      <c r="D297" s="18"/>
      <c r="E297" s="18"/>
      <c r="F297" s="18"/>
      <c r="G297" s="18"/>
      <c r="H297" s="18"/>
      <c r="I297" s="18"/>
      <c r="J297" s="18"/>
      <c r="K297" s="18"/>
      <c r="L297" s="87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9"/>
      <c r="Z297" s="140"/>
      <c r="AA297" s="140"/>
      <c r="AB297" s="140"/>
      <c r="AC297" s="140"/>
      <c r="AD297" s="127"/>
    </row>
    <row r="298" spans="1:30" ht="25.5" customHeight="1" x14ac:dyDescent="0.25">
      <c r="A298" s="20" t="s">
        <v>333</v>
      </c>
      <c r="B298" s="58"/>
      <c r="C298" s="22">
        <v>0</v>
      </c>
      <c r="D298" s="22">
        <v>0</v>
      </c>
      <c r="E298" s="22">
        <f>SUM(C298:D298)</f>
        <v>0</v>
      </c>
      <c r="F298" s="22">
        <v>0</v>
      </c>
      <c r="G298" s="22">
        <f>1253.45</f>
        <v>1253.45</v>
      </c>
      <c r="H298" s="22">
        <f>SUM(E298:G298)+50</f>
        <v>1303.45</v>
      </c>
      <c r="I298" s="22">
        <v>0</v>
      </c>
      <c r="J298" s="22">
        <f>4093.05+1654.45+2528.1-1881.2</f>
        <v>6394.4000000000005</v>
      </c>
      <c r="K298" s="22">
        <f>SUM(H298:J298)</f>
        <v>7697.85</v>
      </c>
      <c r="L298" s="73">
        <v>0</v>
      </c>
      <c r="M298" s="22">
        <f>L298-K298</f>
        <v>-7697.85</v>
      </c>
      <c r="N298" s="22">
        <f>L298/K298</f>
        <v>0</v>
      </c>
      <c r="O298" s="22">
        <v>0</v>
      </c>
      <c r="P298" s="22">
        <f>L298+O298</f>
        <v>0</v>
      </c>
      <c r="Q298" s="22">
        <v>0</v>
      </c>
      <c r="R298" s="22">
        <v>0</v>
      </c>
      <c r="S298" s="22">
        <f>SUM(P298:R298)+20</f>
        <v>20</v>
      </c>
      <c r="T298" s="22">
        <v>0</v>
      </c>
      <c r="U298" s="22">
        <v>0</v>
      </c>
      <c r="V298" s="22">
        <f>198</f>
        <v>198</v>
      </c>
      <c r="W298" s="22">
        <f t="shared" si="105"/>
        <v>218</v>
      </c>
      <c r="X298" s="22">
        <v>0</v>
      </c>
      <c r="Y298" s="23">
        <v>0</v>
      </c>
      <c r="Z298" s="140">
        <f t="shared" si="122"/>
        <v>218</v>
      </c>
      <c r="AA298" s="140">
        <v>0</v>
      </c>
      <c r="AB298" s="140">
        <v>0</v>
      </c>
      <c r="AC298" s="140">
        <f>94</f>
        <v>94</v>
      </c>
      <c r="AD298" s="127">
        <f t="shared" si="97"/>
        <v>312</v>
      </c>
    </row>
    <row r="299" spans="1:30" ht="15" customHeight="1" x14ac:dyDescent="0.25">
      <c r="A299" s="69" t="s">
        <v>87</v>
      </c>
      <c r="B299" s="58"/>
      <c r="C299" s="22">
        <v>370</v>
      </c>
      <c r="D299" s="22">
        <v>0</v>
      </c>
      <c r="E299" s="22">
        <f t="shared" ref="E299:E301" si="124">SUM(C299:D299)</f>
        <v>370</v>
      </c>
      <c r="F299" s="22">
        <v>0</v>
      </c>
      <c r="G299" s="22">
        <v>0</v>
      </c>
      <c r="H299" s="22">
        <f>SUM(E299:G299)+20</f>
        <v>390</v>
      </c>
      <c r="I299" s="22">
        <v>0</v>
      </c>
      <c r="J299" s="22">
        <v>0</v>
      </c>
      <c r="K299" s="22">
        <f t="shared" si="93"/>
        <v>390</v>
      </c>
      <c r="L299" s="73">
        <v>370</v>
      </c>
      <c r="M299" s="22">
        <f t="shared" ref="M299:M301" si="125">L299-K299</f>
        <v>-20</v>
      </c>
      <c r="N299" s="22">
        <f t="shared" ref="N299:N301" si="126">L299/K299</f>
        <v>0.94871794871794868</v>
      </c>
      <c r="O299" s="22">
        <v>0</v>
      </c>
      <c r="P299" s="22">
        <f t="shared" ref="P299:P301" si="127">L299+O299</f>
        <v>370</v>
      </c>
      <c r="Q299" s="22">
        <v>0</v>
      </c>
      <c r="R299" s="22">
        <v>0</v>
      </c>
      <c r="S299" s="22">
        <f t="shared" ref="S299:S301" si="128">SUM(P299:R299)</f>
        <v>370</v>
      </c>
      <c r="T299" s="22">
        <v>0</v>
      </c>
      <c r="U299" s="22">
        <v>0</v>
      </c>
      <c r="V299" s="22">
        <v>0</v>
      </c>
      <c r="W299" s="22">
        <f t="shared" si="105"/>
        <v>370</v>
      </c>
      <c r="X299" s="22">
        <v>0</v>
      </c>
      <c r="Y299" s="23">
        <v>0</v>
      </c>
      <c r="Z299" s="140">
        <f t="shared" si="122"/>
        <v>370</v>
      </c>
      <c r="AA299" s="140">
        <v>0</v>
      </c>
      <c r="AB299" s="140">
        <v>0</v>
      </c>
      <c r="AC299" s="140">
        <v>0</v>
      </c>
      <c r="AD299" s="127">
        <f t="shared" si="97"/>
        <v>370</v>
      </c>
    </row>
    <row r="300" spans="1:30" ht="22.5" customHeight="1" x14ac:dyDescent="0.25">
      <c r="A300" s="20" t="s">
        <v>334</v>
      </c>
      <c r="B300" s="68" t="s">
        <v>335</v>
      </c>
      <c r="C300" s="22">
        <v>1200</v>
      </c>
      <c r="D300" s="22">
        <v>0</v>
      </c>
      <c r="E300" s="22">
        <f t="shared" si="124"/>
        <v>1200</v>
      </c>
      <c r="F300" s="22">
        <v>-165</v>
      </c>
      <c r="G300" s="22">
        <v>0</v>
      </c>
      <c r="H300" s="22">
        <f t="shared" ref="H300" si="129">SUM(E300:G300)</f>
        <v>1035</v>
      </c>
      <c r="I300" s="22">
        <v>0</v>
      </c>
      <c r="J300" s="22">
        <v>0</v>
      </c>
      <c r="K300" s="22">
        <f t="shared" si="93"/>
        <v>1035</v>
      </c>
      <c r="L300" s="73">
        <v>800</v>
      </c>
      <c r="M300" s="22">
        <f t="shared" si="125"/>
        <v>-235</v>
      </c>
      <c r="N300" s="22">
        <f t="shared" si="126"/>
        <v>0.77294685990338163</v>
      </c>
      <c r="O300" s="22">
        <v>0</v>
      </c>
      <c r="P300" s="22">
        <f t="shared" si="127"/>
        <v>800</v>
      </c>
      <c r="Q300" s="22">
        <v>0</v>
      </c>
      <c r="R300" s="22">
        <v>0</v>
      </c>
      <c r="S300" s="22">
        <f t="shared" si="128"/>
        <v>800</v>
      </c>
      <c r="T300" s="22">
        <v>0</v>
      </c>
      <c r="U300" s="22">
        <v>0</v>
      </c>
      <c r="V300" s="22">
        <v>0</v>
      </c>
      <c r="W300" s="22">
        <f t="shared" si="105"/>
        <v>800</v>
      </c>
      <c r="X300" s="22">
        <v>0</v>
      </c>
      <c r="Y300" s="23">
        <v>0</v>
      </c>
      <c r="Z300" s="140">
        <f t="shared" si="122"/>
        <v>800</v>
      </c>
      <c r="AA300" s="140">
        <v>0</v>
      </c>
      <c r="AB300" s="140">
        <v>0</v>
      </c>
      <c r="AC300" s="140">
        <v>0</v>
      </c>
      <c r="AD300" s="127">
        <f t="shared" si="97"/>
        <v>800</v>
      </c>
    </row>
    <row r="301" spans="1:30" ht="27.75" customHeight="1" thickBot="1" x14ac:dyDescent="0.3">
      <c r="A301" s="24" t="s">
        <v>336</v>
      </c>
      <c r="B301" s="60"/>
      <c r="C301" s="26">
        <v>5215</v>
      </c>
      <c r="D301" s="26">
        <v>0</v>
      </c>
      <c r="E301" s="26">
        <f t="shared" si="124"/>
        <v>5215</v>
      </c>
      <c r="F301" s="26">
        <f>165+0+9000</f>
        <v>9165</v>
      </c>
      <c r="G301" s="26">
        <f>-48-50</f>
        <v>-98</v>
      </c>
      <c r="H301" s="26">
        <f>SUM(E301:G301)-20</f>
        <v>14262</v>
      </c>
      <c r="I301" s="26">
        <v>-695</v>
      </c>
      <c r="J301" s="26">
        <f>-42+415.56</f>
        <v>373.56</v>
      </c>
      <c r="K301" s="26">
        <f t="shared" si="93"/>
        <v>13940.56</v>
      </c>
      <c r="L301" s="95">
        <v>6239</v>
      </c>
      <c r="M301" s="26">
        <f t="shared" si="125"/>
        <v>-7701.5599999999995</v>
      </c>
      <c r="N301" s="26">
        <f t="shared" si="126"/>
        <v>0.44754299683800364</v>
      </c>
      <c r="O301" s="26">
        <f>913.5+527.1</f>
        <v>1440.6</v>
      </c>
      <c r="P301" s="26">
        <f t="shared" si="127"/>
        <v>7679.6</v>
      </c>
      <c r="Q301" s="26">
        <v>0</v>
      </c>
      <c r="R301" s="26">
        <f>24.1+13.6-50+391.3</f>
        <v>379</v>
      </c>
      <c r="S301" s="26">
        <f t="shared" si="128"/>
        <v>8058.6</v>
      </c>
      <c r="T301" s="26">
        <v>0</v>
      </c>
      <c r="U301" s="26">
        <v>0</v>
      </c>
      <c r="V301" s="26">
        <f>900+34.9</f>
        <v>934.9</v>
      </c>
      <c r="W301" s="26">
        <f>8993.5+0.3</f>
        <v>8993.7999999999993</v>
      </c>
      <c r="X301" s="26">
        <v>0</v>
      </c>
      <c r="Y301" s="27">
        <v>0</v>
      </c>
      <c r="Z301" s="141">
        <f t="shared" si="122"/>
        <v>8993.7999999999993</v>
      </c>
      <c r="AA301" s="141">
        <v>0</v>
      </c>
      <c r="AB301" s="141">
        <f>-2775</f>
        <v>-2775</v>
      </c>
      <c r="AC301" s="141">
        <f>420.6</f>
        <v>420.6</v>
      </c>
      <c r="AD301" s="128">
        <f t="shared" si="97"/>
        <v>6639.4</v>
      </c>
    </row>
    <row r="302" spans="1:30" ht="15.75" customHeight="1" thickBot="1" x14ac:dyDescent="0.3">
      <c r="A302" s="97" t="s">
        <v>337</v>
      </c>
      <c r="B302" s="98"/>
      <c r="C302" s="99" t="e">
        <f>SUM(C23+C45+C51+C59+C65+C70+C186+C199+#REF!+C209+C259+C263+C286+C291+C296)</f>
        <v>#REF!</v>
      </c>
      <c r="D302" s="99" t="e">
        <f>SUM(D23+D45+D51+D59+D65+D70+D186+D199+#REF!+D209+D259+D263+D286+D291+D296)</f>
        <v>#REF!</v>
      </c>
      <c r="E302" s="99" t="e">
        <f>SUM(C302:D302)</f>
        <v>#REF!</v>
      </c>
      <c r="F302" s="99" t="e">
        <f>F23+F45+F51+F59+F65+F70+F186+F199+#REF!+F209+F259+F263+F286+F291+F296</f>
        <v>#REF!</v>
      </c>
      <c r="G302" s="99" t="e">
        <f>SUM(G23+G45+G51+G59+G65+G70+G186+G199+#REF!+G209+G259+G263+G286+G291+G296)</f>
        <v>#REF!</v>
      </c>
      <c r="H302" s="99" t="e">
        <f>H23+H45+H51+H59+H65+H70+H186+H199+#REF!+H209+H259+H263+H286+H291+H296</f>
        <v>#REF!</v>
      </c>
      <c r="I302" s="99" t="e">
        <f>I23+I45+I51+I59+I65+I70+I186+I199+#REF!+I209+I259+I263+I286+I291+I296</f>
        <v>#REF!</v>
      </c>
      <c r="J302" s="99" t="e">
        <f>SUM(J23+J45+J51+J59+J65+J70+J186+J199+#REF!+J209+J259+J263+J286+J291+J296)</f>
        <v>#REF!</v>
      </c>
      <c r="K302" s="99" t="e">
        <f t="shared" si="93"/>
        <v>#REF!</v>
      </c>
      <c r="L302" s="99">
        <f>SUM(L23+L45+L51+L59+L65+L70+L186+L199+L209+L259+L263+L286+L291+L296)</f>
        <v>1526912.9800000002</v>
      </c>
      <c r="M302" s="99" t="e">
        <f>SUM(M23+M45+M51+M59+M65+M70+M186+M199+#REF!+M209+M259+M263+M286+M291+M296)</f>
        <v>#REF!</v>
      </c>
      <c r="N302" s="99" t="e">
        <f>L302/K302</f>
        <v>#REF!</v>
      </c>
      <c r="O302" s="99">
        <f t="shared" ref="O302:Y302" si="130">SUM(O23+O45+O51+O59+O65+O70+O186+O199+O209+O259+O263+O286+O291+O296)</f>
        <v>3183.0099999999993</v>
      </c>
      <c r="P302" s="99">
        <f t="shared" si="130"/>
        <v>1532432.8300000003</v>
      </c>
      <c r="Q302" s="99">
        <f t="shared" si="130"/>
        <v>51566.15</v>
      </c>
      <c r="R302" s="99">
        <f t="shared" si="130"/>
        <v>60829.98</v>
      </c>
      <c r="S302" s="99">
        <f t="shared" si="130"/>
        <v>1663813.9099999997</v>
      </c>
      <c r="T302" s="99">
        <f t="shared" si="130"/>
        <v>8194.4700000000012</v>
      </c>
      <c r="U302" s="99">
        <f t="shared" si="130"/>
        <v>-400</v>
      </c>
      <c r="V302" s="99">
        <f t="shared" si="130"/>
        <v>11400.300000000001</v>
      </c>
      <c r="W302" s="99">
        <f t="shared" si="130"/>
        <v>1689071.0299999998</v>
      </c>
      <c r="X302" s="99">
        <f t="shared" si="130"/>
        <v>16590.590000000004</v>
      </c>
      <c r="Y302" s="100">
        <f t="shared" si="130"/>
        <v>19278.77</v>
      </c>
      <c r="Z302" s="99">
        <f t="shared" si="122"/>
        <v>1724940.39</v>
      </c>
      <c r="AA302" s="99">
        <f>SUM(AA23+AA45+AA51+AA59+AA65+AA70+AA186+AA199+AA209+AA259+AA263+AA286+AA291+AA296)</f>
        <v>-1983.2600000000002</v>
      </c>
      <c r="AB302" s="99">
        <f>SUM(AB23+AB45+AB51+AB59+AB65+AB70+AB186+AB199+AB209+AB259+AB263+AB286+AB291+AB296)</f>
        <v>-98965.51</v>
      </c>
      <c r="AC302" s="99">
        <f>SUM(AC23+AC45+AC51+AC59+AC65+AC70+AC186+AC199+AC209+AC259+AC263+AC286+AC291+AC296)</f>
        <v>607.30000000000007</v>
      </c>
      <c r="AD302" s="135">
        <f t="shared" si="97"/>
        <v>1624598.92</v>
      </c>
    </row>
    <row r="303" spans="1:30" ht="13.5" customHeight="1" thickBot="1" x14ac:dyDescent="0.3">
      <c r="A303" s="101"/>
      <c r="B303" s="102"/>
      <c r="C303" s="103"/>
      <c r="D303" s="103"/>
      <c r="E303" s="103"/>
      <c r="F303" s="103"/>
      <c r="G303" s="103"/>
      <c r="H303" s="103"/>
      <c r="I303" s="103"/>
      <c r="J303" s="103"/>
      <c r="K303" s="34"/>
      <c r="L303" s="103"/>
      <c r="M303" s="103"/>
      <c r="N303" s="103"/>
      <c r="O303" s="103"/>
      <c r="P303" s="103"/>
      <c r="Q303" s="103"/>
      <c r="R303" s="103"/>
      <c r="S303" s="103"/>
      <c r="T303" s="103"/>
      <c r="U303" s="103"/>
      <c r="V303" s="103"/>
      <c r="W303" s="34"/>
      <c r="X303" s="34"/>
      <c r="Y303" s="35"/>
      <c r="Z303" s="141"/>
      <c r="AA303" s="141"/>
      <c r="AB303" s="141"/>
      <c r="AC303" s="141"/>
      <c r="AD303" s="128"/>
    </row>
    <row r="304" spans="1:30" ht="16.5" customHeight="1" thickBot="1" x14ac:dyDescent="0.3">
      <c r="A304" s="97" t="s">
        <v>338</v>
      </c>
      <c r="B304" s="104"/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1"/>
      <c r="Z304" s="143"/>
      <c r="AA304" s="143"/>
      <c r="AB304" s="143"/>
      <c r="AC304" s="143"/>
      <c r="AD304" s="132"/>
    </row>
    <row r="305" spans="1:30" ht="16.350000000000001" customHeight="1" thickBot="1" x14ac:dyDescent="0.3">
      <c r="A305" s="71" t="s">
        <v>53</v>
      </c>
      <c r="B305" s="65"/>
      <c r="C305" s="54">
        <f t="shared" ref="C305" si="131">SUM(C307)</f>
        <v>0</v>
      </c>
      <c r="D305" s="54">
        <f>SUM(D307)</f>
        <v>0</v>
      </c>
      <c r="E305" s="105">
        <f>SUM(C305:D305)</f>
        <v>0</v>
      </c>
      <c r="F305" s="105">
        <f>SUM(F307)</f>
        <v>0</v>
      </c>
      <c r="G305" s="105">
        <f>SUM(G307:G307)</f>
        <v>0</v>
      </c>
      <c r="H305" s="105">
        <f>SUM(H307:H307)</f>
        <v>0</v>
      </c>
      <c r="I305" s="105">
        <f>SUM(I307:I307)</f>
        <v>0</v>
      </c>
      <c r="J305" s="105">
        <f>SUM(J307:J307)</f>
        <v>0</v>
      </c>
      <c r="K305" s="54">
        <f t="shared" si="93"/>
        <v>0</v>
      </c>
      <c r="L305" s="54">
        <f t="shared" ref="L305" si="132">SUM(L307)</f>
        <v>0</v>
      </c>
      <c r="M305" s="54">
        <f>SUM(M307:M307)</f>
        <v>0</v>
      </c>
      <c r="N305" s="54" t="e">
        <f>L305/K305</f>
        <v>#DIV/0!</v>
      </c>
      <c r="O305" s="54">
        <f>SUM(O307:O307)</f>
        <v>0</v>
      </c>
      <c r="P305" s="54">
        <f>SUM(P307:P307)</f>
        <v>0</v>
      </c>
      <c r="Q305" s="54">
        <f>SUM(Q307:Q307)</f>
        <v>0</v>
      </c>
      <c r="R305" s="54">
        <f>SUM(R307)</f>
        <v>0</v>
      </c>
      <c r="S305" s="54">
        <f>SUM(S307:S307)</f>
        <v>0</v>
      </c>
      <c r="T305" s="54">
        <f t="shared" ref="T305:Y305" si="133">SUM(T307)</f>
        <v>0</v>
      </c>
      <c r="U305" s="54">
        <f t="shared" si="133"/>
        <v>0</v>
      </c>
      <c r="V305" s="54">
        <f t="shared" si="133"/>
        <v>0</v>
      </c>
      <c r="W305" s="54">
        <f t="shared" si="133"/>
        <v>0</v>
      </c>
      <c r="X305" s="54">
        <f t="shared" si="133"/>
        <v>0</v>
      </c>
      <c r="Y305" s="55">
        <f t="shared" si="133"/>
        <v>0</v>
      </c>
      <c r="Z305" s="54">
        <f t="shared" si="122"/>
        <v>0</v>
      </c>
      <c r="AA305" s="54">
        <f>SUM(AA307)</f>
        <v>0</v>
      </c>
      <c r="AB305" s="54">
        <f>SUM(AB307)</f>
        <v>0</v>
      </c>
      <c r="AC305" s="54">
        <f>SUM(AC307)</f>
        <v>0</v>
      </c>
      <c r="AD305" s="133">
        <f t="shared" si="97"/>
        <v>0</v>
      </c>
    </row>
    <row r="306" spans="1:30" ht="15" customHeight="1" x14ac:dyDescent="0.25">
      <c r="A306" s="72" t="s">
        <v>54</v>
      </c>
      <c r="B306" s="64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9"/>
      <c r="Z306" s="140"/>
      <c r="AA306" s="140"/>
      <c r="AB306" s="140"/>
      <c r="AC306" s="140"/>
      <c r="AD306" s="127"/>
    </row>
    <row r="307" spans="1:30" ht="23.25" customHeight="1" thickBot="1" x14ac:dyDescent="0.3">
      <c r="A307" s="24" t="s">
        <v>339</v>
      </c>
      <c r="B307" s="60"/>
      <c r="C307" s="26">
        <v>0</v>
      </c>
      <c r="D307" s="26">
        <v>0</v>
      </c>
      <c r="E307" s="61">
        <f>SUM(C307:D307)</f>
        <v>0</v>
      </c>
      <c r="F307" s="61">
        <v>0</v>
      </c>
      <c r="G307" s="61">
        <v>0</v>
      </c>
      <c r="H307" s="26">
        <f>SUM(E307:G307)</f>
        <v>0</v>
      </c>
      <c r="I307" s="26">
        <v>0</v>
      </c>
      <c r="J307" s="26">
        <v>0</v>
      </c>
      <c r="K307" s="26">
        <f t="shared" si="93"/>
        <v>0</v>
      </c>
      <c r="L307" s="26">
        <v>0</v>
      </c>
      <c r="M307" s="26">
        <f>L307-K307</f>
        <v>0</v>
      </c>
      <c r="N307" s="61" t="s">
        <v>46</v>
      </c>
      <c r="O307" s="61">
        <v>0</v>
      </c>
      <c r="P307" s="26">
        <f>L307+O307</f>
        <v>0</v>
      </c>
      <c r="Q307" s="61">
        <v>0</v>
      </c>
      <c r="R307" s="61">
        <v>0</v>
      </c>
      <c r="S307" s="61">
        <f>SUM(P307:R307)</f>
        <v>0</v>
      </c>
      <c r="T307" s="61">
        <v>0</v>
      </c>
      <c r="U307" s="61">
        <v>0</v>
      </c>
      <c r="V307" s="61">
        <v>0</v>
      </c>
      <c r="W307" s="26">
        <f t="shared" si="105"/>
        <v>0</v>
      </c>
      <c r="X307" s="26">
        <v>0</v>
      </c>
      <c r="Y307" s="27">
        <v>0</v>
      </c>
      <c r="Z307" s="141">
        <f t="shared" si="122"/>
        <v>0</v>
      </c>
      <c r="AA307" s="141">
        <v>0</v>
      </c>
      <c r="AB307" s="141">
        <v>0</v>
      </c>
      <c r="AC307" s="141">
        <v>0</v>
      </c>
      <c r="AD307" s="128">
        <f t="shared" si="97"/>
        <v>0</v>
      </c>
    </row>
    <row r="308" spans="1:30" ht="16.350000000000001" customHeight="1" thickBot="1" x14ac:dyDescent="0.3">
      <c r="A308" s="71" t="s">
        <v>340</v>
      </c>
      <c r="B308" s="65"/>
      <c r="C308" s="54">
        <f t="shared" ref="C308" si="134">SUM(C310:C313)</f>
        <v>400</v>
      </c>
      <c r="D308" s="54">
        <f>SUM(D310:D313)</f>
        <v>0</v>
      </c>
      <c r="E308" s="54">
        <f>SUM(C308:D308)</f>
        <v>400</v>
      </c>
      <c r="F308" s="54">
        <f>SUM(F310:F313)</f>
        <v>0</v>
      </c>
      <c r="G308" s="54">
        <f>SUM(G310:G313)</f>
        <v>0</v>
      </c>
      <c r="H308" s="54">
        <f>SUM(H310:H313)</f>
        <v>400</v>
      </c>
      <c r="I308" s="54">
        <f>SUM(I310:I313)</f>
        <v>0</v>
      </c>
      <c r="J308" s="54">
        <f>SUM(J310:J313)</f>
        <v>115</v>
      </c>
      <c r="K308" s="54">
        <f t="shared" si="93"/>
        <v>515</v>
      </c>
      <c r="L308" s="54">
        <f t="shared" ref="L308" si="135">SUM(L310:L313)</f>
        <v>400</v>
      </c>
      <c r="M308" s="54">
        <f>SUM(M310:M313)</f>
        <v>-115</v>
      </c>
      <c r="N308" s="105">
        <f>L308/K308</f>
        <v>0.77669902912621358</v>
      </c>
      <c r="O308" s="105">
        <f t="shared" ref="O308:T308" si="136">SUM(O310:O313)</f>
        <v>100</v>
      </c>
      <c r="P308" s="105">
        <f t="shared" si="136"/>
        <v>500</v>
      </c>
      <c r="Q308" s="105">
        <f t="shared" si="136"/>
        <v>0</v>
      </c>
      <c r="R308" s="105">
        <f t="shared" si="136"/>
        <v>0</v>
      </c>
      <c r="S308" s="105">
        <f t="shared" si="136"/>
        <v>500</v>
      </c>
      <c r="T308" s="105">
        <f t="shared" si="136"/>
        <v>8000</v>
      </c>
      <c r="U308" s="105">
        <f t="shared" ref="U308:AB308" si="137">SUM(U310:U313)</f>
        <v>0</v>
      </c>
      <c r="V308" s="105">
        <f t="shared" si="137"/>
        <v>0</v>
      </c>
      <c r="W308" s="54">
        <f t="shared" si="137"/>
        <v>8500</v>
      </c>
      <c r="X308" s="54">
        <f t="shared" si="137"/>
        <v>0</v>
      </c>
      <c r="Y308" s="55">
        <f t="shared" si="137"/>
        <v>0</v>
      </c>
      <c r="Z308" s="54">
        <f t="shared" si="137"/>
        <v>8500</v>
      </c>
      <c r="AA308" s="54">
        <f t="shared" si="137"/>
        <v>0</v>
      </c>
      <c r="AB308" s="54">
        <f t="shared" si="137"/>
        <v>-8000</v>
      </c>
      <c r="AC308" s="54">
        <f>SUM(AC310:AC313)</f>
        <v>0</v>
      </c>
      <c r="AD308" s="133">
        <f t="shared" si="97"/>
        <v>500</v>
      </c>
    </row>
    <row r="309" spans="1:30" ht="14.25" customHeight="1" x14ac:dyDescent="0.25">
      <c r="A309" s="72" t="s">
        <v>54</v>
      </c>
      <c r="B309" s="64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88"/>
      <c r="O309" s="88"/>
      <c r="P309" s="88"/>
      <c r="Q309" s="88"/>
      <c r="R309" s="88"/>
      <c r="S309" s="88"/>
      <c r="T309" s="88"/>
      <c r="U309" s="88"/>
      <c r="V309" s="88"/>
      <c r="W309" s="18"/>
      <c r="X309" s="18"/>
      <c r="Y309" s="19"/>
      <c r="Z309" s="140"/>
      <c r="AA309" s="140"/>
      <c r="AB309" s="140"/>
      <c r="AC309" s="140"/>
      <c r="AD309" s="127"/>
    </row>
    <row r="310" spans="1:30" ht="24" customHeight="1" x14ac:dyDescent="0.25">
      <c r="A310" s="20" t="s">
        <v>341</v>
      </c>
      <c r="B310" s="58"/>
      <c r="C310" s="22">
        <v>0</v>
      </c>
      <c r="D310" s="22">
        <v>0</v>
      </c>
      <c r="E310" s="40">
        <f>SUM(C310:D310)</f>
        <v>0</v>
      </c>
      <c r="F310" s="40">
        <v>0</v>
      </c>
      <c r="G310" s="40">
        <v>0</v>
      </c>
      <c r="H310" s="40">
        <f>SUM(E310:G310)</f>
        <v>0</v>
      </c>
      <c r="I310" s="40">
        <v>0</v>
      </c>
      <c r="J310" s="40">
        <v>0</v>
      </c>
      <c r="K310" s="22">
        <f t="shared" si="93"/>
        <v>0</v>
      </c>
      <c r="L310" s="22">
        <v>0</v>
      </c>
      <c r="M310" s="22">
        <f>L310-K310</f>
        <v>0</v>
      </c>
      <c r="N310" s="40" t="s">
        <v>46</v>
      </c>
      <c r="O310" s="40">
        <v>0</v>
      </c>
      <c r="P310" s="40">
        <f>L310+O310</f>
        <v>0</v>
      </c>
      <c r="Q310" s="40">
        <v>0</v>
      </c>
      <c r="R310" s="40">
        <v>0</v>
      </c>
      <c r="S310" s="40">
        <f>SUM(P310:R310)</f>
        <v>0</v>
      </c>
      <c r="T310" s="40">
        <v>0</v>
      </c>
      <c r="U310" s="40">
        <v>0</v>
      </c>
      <c r="V310" s="40">
        <v>0</v>
      </c>
      <c r="W310" s="22">
        <f t="shared" si="105"/>
        <v>0</v>
      </c>
      <c r="X310" s="22">
        <v>0</v>
      </c>
      <c r="Y310" s="23">
        <v>0</v>
      </c>
      <c r="Z310" s="140">
        <f t="shared" si="122"/>
        <v>0</v>
      </c>
      <c r="AA310" s="140">
        <v>0</v>
      </c>
      <c r="AB310" s="140">
        <v>0</v>
      </c>
      <c r="AC310" s="140">
        <v>0</v>
      </c>
      <c r="AD310" s="127">
        <f t="shared" si="97"/>
        <v>0</v>
      </c>
    </row>
    <row r="311" spans="1:30" ht="12.75" customHeight="1" x14ac:dyDescent="0.25">
      <c r="A311" s="69" t="s">
        <v>342</v>
      </c>
      <c r="B311" s="58"/>
      <c r="C311" s="22">
        <v>0</v>
      </c>
      <c r="D311" s="22">
        <v>0</v>
      </c>
      <c r="E311" s="40">
        <f t="shared" ref="E311:E313" si="138">SUM(C311:D311)</f>
        <v>0</v>
      </c>
      <c r="F311" s="40">
        <v>0</v>
      </c>
      <c r="G311" s="40">
        <v>0</v>
      </c>
      <c r="H311" s="40">
        <f t="shared" ref="H311:H313" si="139">SUM(E311:G311)</f>
        <v>0</v>
      </c>
      <c r="I311" s="40">
        <v>0</v>
      </c>
      <c r="J311" s="40">
        <v>0</v>
      </c>
      <c r="K311" s="22">
        <f t="shared" si="93"/>
        <v>0</v>
      </c>
      <c r="L311" s="22">
        <v>0</v>
      </c>
      <c r="M311" s="22">
        <f t="shared" ref="M311:M313" si="140">L311-K311</f>
        <v>0</v>
      </c>
      <c r="N311" s="40" t="s">
        <v>46</v>
      </c>
      <c r="O311" s="40">
        <v>0</v>
      </c>
      <c r="P311" s="40">
        <f t="shared" ref="P311:P313" si="141">L311+O311</f>
        <v>0</v>
      </c>
      <c r="Q311" s="40">
        <v>0</v>
      </c>
      <c r="R311" s="40">
        <v>0</v>
      </c>
      <c r="S311" s="40">
        <f t="shared" ref="S311:S313" si="142">SUM(P311:R311)</f>
        <v>0</v>
      </c>
      <c r="T311" s="40">
        <v>8000</v>
      </c>
      <c r="U311" s="40">
        <v>0</v>
      </c>
      <c r="V311" s="40">
        <v>0</v>
      </c>
      <c r="W311" s="22">
        <f t="shared" si="105"/>
        <v>8000</v>
      </c>
      <c r="X311" s="22">
        <v>0</v>
      </c>
      <c r="Y311" s="23">
        <v>0</v>
      </c>
      <c r="Z311" s="140">
        <v>8000</v>
      </c>
      <c r="AA311" s="140">
        <v>0</v>
      </c>
      <c r="AB311" s="140">
        <v>-8000</v>
      </c>
      <c r="AC311" s="140">
        <v>0</v>
      </c>
      <c r="AD311" s="127">
        <f t="shared" si="97"/>
        <v>0</v>
      </c>
    </row>
    <row r="312" spans="1:30" ht="15" customHeight="1" x14ac:dyDescent="0.25">
      <c r="A312" s="69" t="s">
        <v>343</v>
      </c>
      <c r="B312" s="58"/>
      <c r="C312" s="22">
        <v>400</v>
      </c>
      <c r="D312" s="22">
        <v>0</v>
      </c>
      <c r="E312" s="40">
        <f t="shared" si="138"/>
        <v>400</v>
      </c>
      <c r="F312" s="40">
        <v>0</v>
      </c>
      <c r="G312" s="40">
        <v>0</v>
      </c>
      <c r="H312" s="40">
        <f t="shared" si="139"/>
        <v>400</v>
      </c>
      <c r="I312" s="40">
        <v>0</v>
      </c>
      <c r="J312" s="40">
        <f>115</f>
        <v>115</v>
      </c>
      <c r="K312" s="22">
        <f t="shared" si="93"/>
        <v>515</v>
      </c>
      <c r="L312" s="22">
        <v>400</v>
      </c>
      <c r="M312" s="22">
        <f t="shared" si="140"/>
        <v>-115</v>
      </c>
      <c r="N312" s="22">
        <f t="shared" ref="N312" si="143">L312/K312</f>
        <v>0.77669902912621358</v>
      </c>
      <c r="O312" s="22">
        <f>0+100</f>
        <v>100</v>
      </c>
      <c r="P312" s="40">
        <f t="shared" si="141"/>
        <v>500</v>
      </c>
      <c r="Q312" s="22">
        <v>0</v>
      </c>
      <c r="R312" s="22">
        <v>0</v>
      </c>
      <c r="S312" s="40">
        <f t="shared" si="142"/>
        <v>500</v>
      </c>
      <c r="T312" s="40">
        <v>0</v>
      </c>
      <c r="U312" s="40">
        <v>0</v>
      </c>
      <c r="V312" s="40">
        <v>0</v>
      </c>
      <c r="W312" s="22">
        <f t="shared" si="105"/>
        <v>500</v>
      </c>
      <c r="X312" s="22">
        <v>0</v>
      </c>
      <c r="Y312" s="23">
        <v>0</v>
      </c>
      <c r="Z312" s="140">
        <f t="shared" si="122"/>
        <v>500</v>
      </c>
      <c r="AA312" s="140">
        <v>0</v>
      </c>
      <c r="AB312" s="140">
        <v>0</v>
      </c>
      <c r="AC312" s="140">
        <v>0</v>
      </c>
      <c r="AD312" s="127">
        <f t="shared" si="97"/>
        <v>500</v>
      </c>
    </row>
    <row r="313" spans="1:30" ht="15" customHeight="1" thickBot="1" x14ac:dyDescent="0.3">
      <c r="A313" s="70" t="s">
        <v>344</v>
      </c>
      <c r="B313" s="60"/>
      <c r="C313" s="26">
        <v>0</v>
      </c>
      <c r="D313" s="26">
        <v>0</v>
      </c>
      <c r="E313" s="61">
        <f t="shared" si="138"/>
        <v>0</v>
      </c>
      <c r="F313" s="61">
        <v>0</v>
      </c>
      <c r="G313" s="61">
        <v>0</v>
      </c>
      <c r="H313" s="61">
        <f t="shared" si="139"/>
        <v>0</v>
      </c>
      <c r="I313" s="61">
        <v>0</v>
      </c>
      <c r="J313" s="61">
        <v>0</v>
      </c>
      <c r="K313" s="26">
        <f t="shared" si="93"/>
        <v>0</v>
      </c>
      <c r="L313" s="26">
        <v>0</v>
      </c>
      <c r="M313" s="26">
        <f t="shared" si="140"/>
        <v>0</v>
      </c>
      <c r="N313" s="61" t="s">
        <v>345</v>
      </c>
      <c r="O313" s="61">
        <v>0</v>
      </c>
      <c r="P313" s="61">
        <f t="shared" si="141"/>
        <v>0</v>
      </c>
      <c r="Q313" s="61">
        <v>0</v>
      </c>
      <c r="R313" s="61">
        <v>0</v>
      </c>
      <c r="S313" s="61">
        <f t="shared" si="142"/>
        <v>0</v>
      </c>
      <c r="T313" s="61">
        <v>0</v>
      </c>
      <c r="U313" s="61">
        <v>0</v>
      </c>
      <c r="V313" s="61">
        <v>0</v>
      </c>
      <c r="W313" s="26">
        <f t="shared" si="105"/>
        <v>0</v>
      </c>
      <c r="X313" s="26">
        <v>0</v>
      </c>
      <c r="Y313" s="27">
        <v>0</v>
      </c>
      <c r="Z313" s="141">
        <f t="shared" si="122"/>
        <v>0</v>
      </c>
      <c r="AA313" s="141">
        <v>0</v>
      </c>
      <c r="AB313" s="141">
        <v>0</v>
      </c>
      <c r="AC313" s="141">
        <v>0</v>
      </c>
      <c r="AD313" s="128">
        <f t="shared" si="97"/>
        <v>0</v>
      </c>
    </row>
    <row r="314" spans="1:30" ht="16.350000000000001" customHeight="1" thickBot="1" x14ac:dyDescent="0.3">
      <c r="A314" s="71" t="s">
        <v>90</v>
      </c>
      <c r="B314" s="65"/>
      <c r="C314" s="54">
        <f>SUM(C316:C323)</f>
        <v>10000</v>
      </c>
      <c r="D314" s="54">
        <f>SUM(D316:D323)</f>
        <v>0</v>
      </c>
      <c r="E314" s="54">
        <f>SUM(C314:D314)</f>
        <v>10000</v>
      </c>
      <c r="F314" s="54">
        <f>SUM(F316:F323)</f>
        <v>27227.57</v>
      </c>
      <c r="G314" s="54">
        <f>SUM(G316:G323)</f>
        <v>3200</v>
      </c>
      <c r="H314" s="54">
        <f>SUM(H316:H323)</f>
        <v>40335.870000000003</v>
      </c>
      <c r="I314" s="54">
        <f>SUM(I316:I323)</f>
        <v>43144.37</v>
      </c>
      <c r="J314" s="54">
        <f>SUM(J316:J323)</f>
        <v>-10707</v>
      </c>
      <c r="K314" s="54">
        <f t="shared" si="93"/>
        <v>72773.240000000005</v>
      </c>
      <c r="L314" s="54">
        <f t="shared" ref="L314" si="144">SUM(L316:L323)</f>
        <v>63551.67</v>
      </c>
      <c r="M314" s="54">
        <f>SUM(M316:M323)</f>
        <v>-9221.5700000000033</v>
      </c>
      <c r="N314" s="54">
        <f>L314/K314</f>
        <v>0.87328350366151064</v>
      </c>
      <c r="O314" s="54">
        <f t="shared" ref="O314:T314" si="145">SUM(O316:O323)</f>
        <v>-593.28</v>
      </c>
      <c r="P314" s="54">
        <f t="shared" si="145"/>
        <v>62958.39</v>
      </c>
      <c r="Q314" s="54">
        <f t="shared" si="145"/>
        <v>20810.57</v>
      </c>
      <c r="R314" s="54">
        <f t="shared" si="145"/>
        <v>-7247.21</v>
      </c>
      <c r="S314" s="54">
        <f t="shared" si="145"/>
        <v>76521.75</v>
      </c>
      <c r="T314" s="54">
        <f t="shared" si="145"/>
        <v>0</v>
      </c>
      <c r="U314" s="54">
        <f>SUM(U316:U323)</f>
        <v>0</v>
      </c>
      <c r="V314" s="54">
        <f>SUM(V316:V323)</f>
        <v>-4028.34</v>
      </c>
      <c r="W314" s="54">
        <f>SUM(W316:W323)</f>
        <v>72254.009999999995</v>
      </c>
      <c r="X314" s="54">
        <f>SUM(X316:X323)</f>
        <v>0</v>
      </c>
      <c r="Y314" s="55">
        <f>SUM(Y316:Y323)</f>
        <v>-1242.79</v>
      </c>
      <c r="Z314" s="54">
        <f t="shared" si="122"/>
        <v>71011.22</v>
      </c>
      <c r="AA314" s="54">
        <f>SUM(AA316:AA323)</f>
        <v>-1419</v>
      </c>
      <c r="AB314" s="54">
        <f>SUM(AB316:AB323)</f>
        <v>-53551.67</v>
      </c>
      <c r="AC314" s="54">
        <f>SUM(AC316:AC323)</f>
        <v>0</v>
      </c>
      <c r="AD314" s="133">
        <f t="shared" si="97"/>
        <v>16040.550000000003</v>
      </c>
    </row>
    <row r="315" spans="1:30" ht="15" customHeight="1" x14ac:dyDescent="0.25">
      <c r="A315" s="72" t="s">
        <v>54</v>
      </c>
      <c r="B315" s="64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9"/>
      <c r="Z315" s="140"/>
      <c r="AA315" s="140"/>
      <c r="AB315" s="140"/>
      <c r="AC315" s="140"/>
      <c r="AD315" s="127"/>
    </row>
    <row r="316" spans="1:30" ht="23.25" customHeight="1" x14ac:dyDescent="0.25">
      <c r="A316" s="20" t="s">
        <v>346</v>
      </c>
      <c r="B316" s="58"/>
      <c r="C316" s="22">
        <v>1600</v>
      </c>
      <c r="D316" s="22">
        <v>0</v>
      </c>
      <c r="E316" s="22">
        <f>SUM(C316:D316)</f>
        <v>1600</v>
      </c>
      <c r="F316" s="22">
        <v>3721.84</v>
      </c>
      <c r="G316" s="22">
        <f>3500</f>
        <v>3500</v>
      </c>
      <c r="H316" s="22">
        <f>SUM(E316:G316)-69.7</f>
        <v>8752.14</v>
      </c>
      <c r="I316" s="22">
        <v>0</v>
      </c>
      <c r="J316" s="22">
        <f>-500</f>
        <v>-500</v>
      </c>
      <c r="K316" s="22">
        <f t="shared" ref="K316:K386" si="146">SUM(H316:J316)</f>
        <v>8252.14</v>
      </c>
      <c r="L316" s="22">
        <v>1600</v>
      </c>
      <c r="M316" s="22">
        <f>L316-K316</f>
        <v>-6652.1399999999994</v>
      </c>
      <c r="N316" s="22">
        <f>L316/K316</f>
        <v>0.19388910028186629</v>
      </c>
      <c r="O316" s="22">
        <v>0</v>
      </c>
      <c r="P316" s="22">
        <f>L316+O316</f>
        <v>1600</v>
      </c>
      <c r="Q316" s="22">
        <v>10252.14</v>
      </c>
      <c r="R316" s="22">
        <f>-7000</f>
        <v>-7000</v>
      </c>
      <c r="S316" s="22">
        <f>SUM(P316:R316)</f>
        <v>4852.1399999999994</v>
      </c>
      <c r="T316" s="22">
        <v>0</v>
      </c>
      <c r="U316" s="22">
        <v>0</v>
      </c>
      <c r="V316" s="22">
        <f>-107.69</f>
        <v>-107.69</v>
      </c>
      <c r="W316" s="22">
        <f t="shared" si="105"/>
        <v>4744.45</v>
      </c>
      <c r="X316" s="22">
        <v>0</v>
      </c>
      <c r="Y316" s="23">
        <f>-649</f>
        <v>-649</v>
      </c>
      <c r="Z316" s="140">
        <f t="shared" si="122"/>
        <v>4095.45</v>
      </c>
      <c r="AA316" s="140">
        <v>0</v>
      </c>
      <c r="AB316" s="140">
        <v>0</v>
      </c>
      <c r="AC316" s="140">
        <v>0</v>
      </c>
      <c r="AD316" s="127">
        <f t="shared" si="97"/>
        <v>4095.45</v>
      </c>
    </row>
    <row r="317" spans="1:30" ht="15" customHeight="1" x14ac:dyDescent="0.25">
      <c r="A317" s="69" t="s">
        <v>347</v>
      </c>
      <c r="B317" s="58"/>
      <c r="C317" s="22">
        <v>3100</v>
      </c>
      <c r="D317" s="22">
        <v>0</v>
      </c>
      <c r="E317" s="22">
        <f t="shared" ref="E317:E323" si="147">SUM(C317:D317)</f>
        <v>3100</v>
      </c>
      <c r="F317" s="22">
        <v>1521.55</v>
      </c>
      <c r="G317" s="22">
        <v>0</v>
      </c>
      <c r="H317" s="22">
        <f>SUM(E317:G317)</f>
        <v>4621.55</v>
      </c>
      <c r="I317" s="22">
        <v>0</v>
      </c>
      <c r="J317" s="22">
        <f>-394-917</f>
        <v>-1311</v>
      </c>
      <c r="K317" s="22">
        <f t="shared" si="146"/>
        <v>3310.55</v>
      </c>
      <c r="L317" s="22">
        <v>3100</v>
      </c>
      <c r="M317" s="22">
        <f t="shared" ref="M317:M323" si="148">L317-K317</f>
        <v>-210.55000000000018</v>
      </c>
      <c r="N317" s="22">
        <f t="shared" ref="N317:N322" si="149">L317/K317</f>
        <v>0.93640029602331931</v>
      </c>
      <c r="O317" s="22">
        <v>0</v>
      </c>
      <c r="P317" s="22">
        <f t="shared" ref="P317:P323" si="150">L317+O317</f>
        <v>3100</v>
      </c>
      <c r="Q317" s="22">
        <v>2113.5500000000002</v>
      </c>
      <c r="R317" s="22">
        <v>0</v>
      </c>
      <c r="S317" s="22">
        <f t="shared" ref="S317:S322" si="151">SUM(P317:R317)</f>
        <v>5213.55</v>
      </c>
      <c r="T317" s="22">
        <v>0</v>
      </c>
      <c r="U317" s="22">
        <v>0</v>
      </c>
      <c r="V317" s="22">
        <f>-442.8</f>
        <v>-442.8</v>
      </c>
      <c r="W317" s="22">
        <f t="shared" si="105"/>
        <v>4770.75</v>
      </c>
      <c r="X317" s="22">
        <v>0</v>
      </c>
      <c r="Y317" s="23">
        <f>-17.79</f>
        <v>-17.79</v>
      </c>
      <c r="Z317" s="140">
        <f t="shared" si="122"/>
        <v>4752.96</v>
      </c>
      <c r="AA317" s="140">
        <f>0.6</f>
        <v>0.6</v>
      </c>
      <c r="AB317" s="140">
        <v>0</v>
      </c>
      <c r="AC317" s="140">
        <v>0</v>
      </c>
      <c r="AD317" s="127">
        <f t="shared" si="97"/>
        <v>4753.5600000000004</v>
      </c>
    </row>
    <row r="318" spans="1:30" ht="24.75" customHeight="1" x14ac:dyDescent="0.25">
      <c r="A318" s="20" t="s">
        <v>348</v>
      </c>
      <c r="B318" s="58"/>
      <c r="C318" s="22">
        <v>1300</v>
      </c>
      <c r="D318" s="22">
        <v>0</v>
      </c>
      <c r="E318" s="22">
        <f t="shared" si="147"/>
        <v>1300</v>
      </c>
      <c r="F318" s="22">
        <v>2763.95</v>
      </c>
      <c r="G318" s="22">
        <f>-300</f>
        <v>-300</v>
      </c>
      <c r="H318" s="22">
        <f t="shared" ref="H318:H323" si="152">SUM(E318:G318)</f>
        <v>3763.95</v>
      </c>
      <c r="I318" s="22">
        <v>0</v>
      </c>
      <c r="J318" s="22">
        <f>-193</f>
        <v>-193</v>
      </c>
      <c r="K318" s="22">
        <f t="shared" si="146"/>
        <v>3570.95</v>
      </c>
      <c r="L318" s="22">
        <v>1300</v>
      </c>
      <c r="M318" s="22">
        <f t="shared" si="148"/>
        <v>-2270.9499999999998</v>
      </c>
      <c r="N318" s="22">
        <f t="shared" si="149"/>
        <v>0.36404878253685996</v>
      </c>
      <c r="O318" s="22">
        <f>0-550</f>
        <v>-550</v>
      </c>
      <c r="P318" s="22">
        <f t="shared" si="150"/>
        <v>750</v>
      </c>
      <c r="Q318" s="22">
        <v>2437.9499999999998</v>
      </c>
      <c r="R318" s="22">
        <f>-57.21</f>
        <v>-57.21</v>
      </c>
      <c r="S318" s="22">
        <f t="shared" si="151"/>
        <v>3130.74</v>
      </c>
      <c r="T318" s="22">
        <v>0</v>
      </c>
      <c r="U318" s="22">
        <v>0</v>
      </c>
      <c r="V318" s="22">
        <f>-1138</f>
        <v>-1138</v>
      </c>
      <c r="W318" s="22">
        <f>SUM(S318:V318)-12.4</f>
        <v>1980.3399999999997</v>
      </c>
      <c r="X318" s="22">
        <v>0</v>
      </c>
      <c r="Y318" s="23">
        <v>0</v>
      </c>
      <c r="Z318" s="140">
        <f t="shared" si="122"/>
        <v>1980.3399999999997</v>
      </c>
      <c r="AA318" s="140">
        <v>0</v>
      </c>
      <c r="AB318" s="140">
        <v>0</v>
      </c>
      <c r="AC318" s="140">
        <v>0</v>
      </c>
      <c r="AD318" s="127">
        <f t="shared" si="97"/>
        <v>1980.3399999999997</v>
      </c>
    </row>
    <row r="319" spans="1:30" ht="15" customHeight="1" x14ac:dyDescent="0.25">
      <c r="A319" s="69" t="s">
        <v>349</v>
      </c>
      <c r="B319" s="58"/>
      <c r="C319" s="22">
        <v>2900</v>
      </c>
      <c r="D319" s="22">
        <v>0</v>
      </c>
      <c r="E319" s="22">
        <f t="shared" si="147"/>
        <v>2900</v>
      </c>
      <c r="F319" s="22">
        <v>1907.33</v>
      </c>
      <c r="G319" s="22">
        <v>0</v>
      </c>
      <c r="H319" s="22">
        <f>SUM(E319:G319)-22</f>
        <v>4785.33</v>
      </c>
      <c r="I319" s="22">
        <v>0</v>
      </c>
      <c r="J319" s="22">
        <f>-130</f>
        <v>-130</v>
      </c>
      <c r="K319" s="22">
        <f t="shared" si="146"/>
        <v>4655.33</v>
      </c>
      <c r="L319" s="22">
        <v>2900</v>
      </c>
      <c r="M319" s="22">
        <f t="shared" si="148"/>
        <v>-1755.33</v>
      </c>
      <c r="N319" s="22">
        <f t="shared" si="149"/>
        <v>0.62294187522689048</v>
      </c>
      <c r="O319" s="22">
        <f>-5-38.28</f>
        <v>-43.28</v>
      </c>
      <c r="P319" s="22">
        <f t="shared" si="150"/>
        <v>2856.72</v>
      </c>
      <c r="Q319" s="22">
        <v>4836.33</v>
      </c>
      <c r="R319" s="22">
        <f>-190</f>
        <v>-190</v>
      </c>
      <c r="S319" s="22">
        <f t="shared" si="151"/>
        <v>7503.0499999999993</v>
      </c>
      <c r="T319" s="22">
        <v>0</v>
      </c>
      <c r="U319" s="22">
        <v>0</v>
      </c>
      <c r="V319" s="22">
        <f>-1520.85-444</f>
        <v>-1964.85</v>
      </c>
      <c r="W319" s="22">
        <f>SUM(S319:V319)-227</f>
        <v>5311.1999999999989</v>
      </c>
      <c r="X319" s="22">
        <v>0</v>
      </c>
      <c r="Y319" s="23">
        <f>-100</f>
        <v>-100</v>
      </c>
      <c r="Z319" s="140">
        <f t="shared" si="122"/>
        <v>5211.1999999999989</v>
      </c>
      <c r="AA319" s="140">
        <v>0</v>
      </c>
      <c r="AB319" s="140">
        <v>0</v>
      </c>
      <c r="AC319" s="140">
        <v>0</v>
      </c>
      <c r="AD319" s="127">
        <f t="shared" si="97"/>
        <v>5211.1999999999989</v>
      </c>
    </row>
    <row r="320" spans="1:30" ht="23.25" customHeight="1" x14ac:dyDescent="0.25">
      <c r="A320" s="20" t="s">
        <v>350</v>
      </c>
      <c r="B320" s="58"/>
      <c r="C320" s="22">
        <v>1100</v>
      </c>
      <c r="D320" s="22">
        <v>0</v>
      </c>
      <c r="E320" s="22">
        <f t="shared" si="147"/>
        <v>1100</v>
      </c>
      <c r="F320" s="22">
        <v>4843.6000000000004</v>
      </c>
      <c r="G320" s="22">
        <v>0</v>
      </c>
      <c r="H320" s="22">
        <f t="shared" si="152"/>
        <v>5943.6</v>
      </c>
      <c r="I320" s="22">
        <v>0</v>
      </c>
      <c r="J320" s="22">
        <f>-901-3872</f>
        <v>-4773</v>
      </c>
      <c r="K320" s="22">
        <f t="shared" si="146"/>
        <v>1170.6000000000004</v>
      </c>
      <c r="L320" s="22">
        <v>1100</v>
      </c>
      <c r="M320" s="22">
        <f t="shared" si="148"/>
        <v>-70.600000000000364</v>
      </c>
      <c r="N320" s="22">
        <f t="shared" si="149"/>
        <v>0.93968904835127254</v>
      </c>
      <c r="O320" s="22">
        <v>0</v>
      </c>
      <c r="P320" s="22">
        <f t="shared" si="150"/>
        <v>1100</v>
      </c>
      <c r="Q320" s="22">
        <v>1170.5999999999999</v>
      </c>
      <c r="R320" s="22">
        <v>0</v>
      </c>
      <c r="S320" s="22">
        <f t="shared" si="151"/>
        <v>2270.6</v>
      </c>
      <c r="T320" s="22">
        <v>0</v>
      </c>
      <c r="U320" s="22">
        <v>0</v>
      </c>
      <c r="V320" s="22">
        <f>-375</f>
        <v>-375</v>
      </c>
      <c r="W320" s="22">
        <f t="shared" si="105"/>
        <v>1895.6</v>
      </c>
      <c r="X320" s="22">
        <v>0</v>
      </c>
      <c r="Y320" s="23">
        <f>-476</f>
        <v>-476</v>
      </c>
      <c r="Z320" s="140">
        <f t="shared" si="122"/>
        <v>1419.6</v>
      </c>
      <c r="AA320" s="140">
        <f>-2744+1324.4</f>
        <v>-1419.6</v>
      </c>
      <c r="AB320" s="140">
        <v>0</v>
      </c>
      <c r="AC320" s="140">
        <v>0</v>
      </c>
      <c r="AD320" s="127">
        <f t="shared" si="97"/>
        <v>0</v>
      </c>
    </row>
    <row r="321" spans="1:30" ht="26.25" customHeight="1" x14ac:dyDescent="0.25">
      <c r="A321" s="20" t="s">
        <v>351</v>
      </c>
      <c r="B321" s="58"/>
      <c r="C321" s="22">
        <v>0</v>
      </c>
      <c r="D321" s="22"/>
      <c r="E321" s="22">
        <v>0</v>
      </c>
      <c r="F321" s="22">
        <v>1870.4</v>
      </c>
      <c r="G321" s="22">
        <v>0</v>
      </c>
      <c r="H321" s="22">
        <f t="shared" si="152"/>
        <v>1870.4</v>
      </c>
      <c r="I321" s="22">
        <v>4771.6499999999996</v>
      </c>
      <c r="J321" s="22">
        <f>-3800</f>
        <v>-3800</v>
      </c>
      <c r="K321" s="22">
        <f t="shared" si="146"/>
        <v>2842.0499999999993</v>
      </c>
      <c r="L321" s="22">
        <v>2677.75</v>
      </c>
      <c r="M321" s="22">
        <f t="shared" si="148"/>
        <v>-164.29999999999927</v>
      </c>
      <c r="N321" s="22">
        <f t="shared" si="149"/>
        <v>0.9421896166499536</v>
      </c>
      <c r="O321" s="22">
        <v>0</v>
      </c>
      <c r="P321" s="22">
        <f t="shared" si="150"/>
        <v>2677.75</v>
      </c>
      <c r="Q321" s="22">
        <v>0</v>
      </c>
      <c r="R321" s="22">
        <v>0</v>
      </c>
      <c r="S321" s="22">
        <f t="shared" si="151"/>
        <v>2677.75</v>
      </c>
      <c r="T321" s="22">
        <v>0</v>
      </c>
      <c r="U321" s="22">
        <v>0</v>
      </c>
      <c r="V321" s="22">
        <v>0</v>
      </c>
      <c r="W321" s="22">
        <f t="shared" si="105"/>
        <v>2677.75</v>
      </c>
      <c r="X321" s="22">
        <v>0</v>
      </c>
      <c r="Y321" s="23">
        <v>0</v>
      </c>
      <c r="Z321" s="140">
        <f t="shared" si="122"/>
        <v>2677.75</v>
      </c>
      <c r="AA321" s="140">
        <v>0</v>
      </c>
      <c r="AB321" s="140">
        <f>-2677.75</f>
        <v>-2677.75</v>
      </c>
      <c r="AC321" s="140">
        <v>0</v>
      </c>
      <c r="AD321" s="127">
        <f t="shared" si="97"/>
        <v>0</v>
      </c>
    </row>
    <row r="322" spans="1:30" ht="23.25" customHeight="1" x14ac:dyDescent="0.25">
      <c r="A322" s="20" t="s">
        <v>352</v>
      </c>
      <c r="B322" s="58"/>
      <c r="C322" s="22">
        <v>0</v>
      </c>
      <c r="D322" s="22"/>
      <c r="E322" s="22">
        <v>0</v>
      </c>
      <c r="F322" s="22">
        <v>10598.9</v>
      </c>
      <c r="G322" s="22">
        <v>0</v>
      </c>
      <c r="H322" s="22">
        <f t="shared" si="152"/>
        <v>10598.9</v>
      </c>
      <c r="I322" s="22">
        <v>38372.720000000001</v>
      </c>
      <c r="J322" s="22">
        <v>0</v>
      </c>
      <c r="K322" s="22">
        <f t="shared" si="146"/>
        <v>48971.62</v>
      </c>
      <c r="L322" s="22">
        <v>50873.919999999998</v>
      </c>
      <c r="M322" s="22">
        <f t="shared" si="148"/>
        <v>1902.2999999999956</v>
      </c>
      <c r="N322" s="22">
        <f t="shared" si="149"/>
        <v>1.0388449473388872</v>
      </c>
      <c r="O322" s="22">
        <v>0</v>
      </c>
      <c r="P322" s="22">
        <f t="shared" si="150"/>
        <v>50873.919999999998</v>
      </c>
      <c r="Q322" s="22">
        <v>0</v>
      </c>
      <c r="R322" s="22">
        <v>0</v>
      </c>
      <c r="S322" s="22">
        <f t="shared" si="151"/>
        <v>50873.919999999998</v>
      </c>
      <c r="T322" s="22">
        <v>0</v>
      </c>
      <c r="U322" s="22">
        <v>0</v>
      </c>
      <c r="V322" s="22">
        <v>0</v>
      </c>
      <c r="W322" s="22">
        <f t="shared" si="105"/>
        <v>50873.919999999998</v>
      </c>
      <c r="X322" s="22">
        <v>0</v>
      </c>
      <c r="Y322" s="23">
        <v>0</v>
      </c>
      <c r="Z322" s="140">
        <f t="shared" si="122"/>
        <v>50873.919999999998</v>
      </c>
      <c r="AA322" s="140">
        <v>0</v>
      </c>
      <c r="AB322" s="140">
        <f>-50873.92</f>
        <v>-50873.919999999998</v>
      </c>
      <c r="AC322" s="140">
        <v>0</v>
      </c>
      <c r="AD322" s="127">
        <f t="shared" si="97"/>
        <v>0</v>
      </c>
    </row>
    <row r="323" spans="1:30" ht="15" customHeight="1" thickBot="1" x14ac:dyDescent="0.3">
      <c r="A323" s="70" t="s">
        <v>353</v>
      </c>
      <c r="B323" s="60"/>
      <c r="C323" s="26">
        <v>0</v>
      </c>
      <c r="D323" s="26">
        <v>0</v>
      </c>
      <c r="E323" s="26">
        <f t="shared" si="147"/>
        <v>0</v>
      </c>
      <c r="F323" s="26">
        <v>0</v>
      </c>
      <c r="G323" s="26">
        <v>0</v>
      </c>
      <c r="H323" s="26">
        <f t="shared" si="152"/>
        <v>0</v>
      </c>
      <c r="I323" s="26">
        <v>0</v>
      </c>
      <c r="J323" s="26">
        <v>0</v>
      </c>
      <c r="K323" s="26">
        <f t="shared" si="146"/>
        <v>0</v>
      </c>
      <c r="L323" s="26">
        <v>0</v>
      </c>
      <c r="M323" s="26">
        <f t="shared" si="148"/>
        <v>0</v>
      </c>
      <c r="N323" s="61" t="s">
        <v>46</v>
      </c>
      <c r="O323" s="61">
        <v>0</v>
      </c>
      <c r="P323" s="26">
        <f t="shared" si="150"/>
        <v>0</v>
      </c>
      <c r="Q323" s="61">
        <v>0</v>
      </c>
      <c r="R323" s="61">
        <v>0</v>
      </c>
      <c r="S323" s="26">
        <f>SUM(P323:R323)</f>
        <v>0</v>
      </c>
      <c r="T323" s="26">
        <v>0</v>
      </c>
      <c r="U323" s="26">
        <v>0</v>
      </c>
      <c r="V323" s="26">
        <v>0</v>
      </c>
      <c r="W323" s="26">
        <f t="shared" si="105"/>
        <v>0</v>
      </c>
      <c r="X323" s="26">
        <v>0</v>
      </c>
      <c r="Y323" s="27">
        <v>0</v>
      </c>
      <c r="Z323" s="141">
        <f t="shared" si="122"/>
        <v>0</v>
      </c>
      <c r="AA323" s="141">
        <v>0</v>
      </c>
      <c r="AB323" s="141">
        <v>0</v>
      </c>
      <c r="AC323" s="141">
        <v>0</v>
      </c>
      <c r="AD323" s="128">
        <f t="shared" si="97"/>
        <v>0</v>
      </c>
    </row>
    <row r="324" spans="1:30" ht="16.350000000000001" customHeight="1" thickBot="1" x14ac:dyDescent="0.3">
      <c r="A324" s="71" t="s">
        <v>99</v>
      </c>
      <c r="B324" s="65"/>
      <c r="C324" s="54">
        <f>SUM(C327:C329)</f>
        <v>4735</v>
      </c>
      <c r="D324" s="54">
        <f>SUM(D327:D329)</f>
        <v>7517</v>
      </c>
      <c r="E324" s="54">
        <f>SUM(C324:D324)</f>
        <v>12252</v>
      </c>
      <c r="F324" s="54">
        <f>SUM(F327:F329)</f>
        <v>7122.62</v>
      </c>
      <c r="G324" s="54">
        <f>SUM(G327:G329)</f>
        <v>4246</v>
      </c>
      <c r="H324" s="54">
        <f>SUM(H327:H329)</f>
        <v>23746.62</v>
      </c>
      <c r="I324" s="54">
        <f>SUM(I327:I329)</f>
        <v>4065</v>
      </c>
      <c r="J324" s="54">
        <f>SUM(J327:J329)</f>
        <v>1972.6</v>
      </c>
      <c r="K324" s="54">
        <f t="shared" si="146"/>
        <v>29784.219999999998</v>
      </c>
      <c r="L324" s="54">
        <f t="shared" ref="L324" si="153">SUM(L327:L329)</f>
        <v>11366.99</v>
      </c>
      <c r="M324" s="54">
        <f>SUM(M327:M329)</f>
        <v>-18417.229999999996</v>
      </c>
      <c r="N324" s="54">
        <f>L324/K324</f>
        <v>0.38164470984971238</v>
      </c>
      <c r="O324" s="54">
        <f t="shared" ref="O324:T324" si="154">SUM(O327:O329)</f>
        <v>8818.369999999999</v>
      </c>
      <c r="P324" s="54">
        <f t="shared" si="154"/>
        <v>20739.36</v>
      </c>
      <c r="Q324" s="54">
        <f t="shared" si="154"/>
        <v>8135.66</v>
      </c>
      <c r="R324" s="54">
        <f t="shared" si="154"/>
        <v>1704.5</v>
      </c>
      <c r="S324" s="54">
        <f t="shared" si="154"/>
        <v>31773.52</v>
      </c>
      <c r="T324" s="54">
        <f t="shared" si="154"/>
        <v>-413</v>
      </c>
      <c r="U324" s="54">
        <f>SUM(U326:U329)</f>
        <v>400</v>
      </c>
      <c r="V324" s="54">
        <f>SUM(V326:V329)</f>
        <v>2499</v>
      </c>
      <c r="W324" s="54">
        <f>SUM(W326:W329)</f>
        <v>34371.519999999997</v>
      </c>
      <c r="X324" s="54">
        <f>SUM(X326:X329)</f>
        <v>910</v>
      </c>
      <c r="Y324" s="55">
        <f>SUM(Y326:Y329)</f>
        <v>-39</v>
      </c>
      <c r="Z324" s="54">
        <f t="shared" si="122"/>
        <v>35242.519999999997</v>
      </c>
      <c r="AA324" s="54">
        <f>SUM(AA326:AA329)</f>
        <v>182</v>
      </c>
      <c r="AB324" s="54">
        <f>SUM(AB326:AB329)</f>
        <v>-11211.26</v>
      </c>
      <c r="AC324" s="54">
        <f>SUM(AC326:AC329)</f>
        <v>0</v>
      </c>
      <c r="AD324" s="133">
        <f t="shared" si="97"/>
        <v>24213.259999999995</v>
      </c>
    </row>
    <row r="325" spans="1:30" ht="15" customHeight="1" x14ac:dyDescent="0.25">
      <c r="A325" s="72" t="s">
        <v>54</v>
      </c>
      <c r="B325" s="64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9"/>
      <c r="Z325" s="140"/>
      <c r="AA325" s="140"/>
      <c r="AB325" s="140"/>
      <c r="AC325" s="140"/>
      <c r="AD325" s="127"/>
    </row>
    <row r="326" spans="1:30" ht="142.5" customHeight="1" x14ac:dyDescent="0.25">
      <c r="A326" s="20" t="s">
        <v>354</v>
      </c>
      <c r="B326" s="58"/>
      <c r="C326" s="22"/>
      <c r="D326" s="22"/>
      <c r="E326" s="22"/>
      <c r="F326" s="22"/>
      <c r="G326" s="22"/>
      <c r="H326" s="22"/>
      <c r="I326" s="22"/>
      <c r="J326" s="22"/>
      <c r="K326" s="22"/>
      <c r="L326" s="22">
        <v>0</v>
      </c>
      <c r="M326" s="22"/>
      <c r="N326" s="22"/>
      <c r="O326" s="22"/>
      <c r="P326" s="22"/>
      <c r="Q326" s="22"/>
      <c r="R326" s="22"/>
      <c r="S326" s="22">
        <v>0</v>
      </c>
      <c r="T326" s="22">
        <v>0</v>
      </c>
      <c r="U326" s="22">
        <f>400</f>
        <v>400</v>
      </c>
      <c r="V326" s="22">
        <v>0</v>
      </c>
      <c r="W326" s="22">
        <f t="shared" si="105"/>
        <v>400</v>
      </c>
      <c r="X326" s="22">
        <v>0</v>
      </c>
      <c r="Y326" s="23">
        <v>0</v>
      </c>
      <c r="Z326" s="140">
        <f t="shared" si="122"/>
        <v>400</v>
      </c>
      <c r="AA326" s="140">
        <v>0</v>
      </c>
      <c r="AB326" s="140">
        <v>0</v>
      </c>
      <c r="AC326" s="140">
        <v>0</v>
      </c>
      <c r="AD326" s="127">
        <f t="shared" si="97"/>
        <v>400</v>
      </c>
    </row>
    <row r="327" spans="1:30" ht="39" customHeight="1" x14ac:dyDescent="0.25">
      <c r="A327" s="20" t="s">
        <v>355</v>
      </c>
      <c r="B327" s="58"/>
      <c r="C327" s="22">
        <v>0</v>
      </c>
      <c r="D327" s="22">
        <v>0</v>
      </c>
      <c r="E327" s="40">
        <f>SUM(C327:D327)</f>
        <v>0</v>
      </c>
      <c r="F327" s="40">
        <v>0</v>
      </c>
      <c r="G327" s="40">
        <v>0</v>
      </c>
      <c r="H327" s="40">
        <f>SUM(E327:G327)</f>
        <v>0</v>
      </c>
      <c r="I327" s="40">
        <v>0</v>
      </c>
      <c r="J327" s="40">
        <v>0</v>
      </c>
      <c r="K327" s="22">
        <f t="shared" si="146"/>
        <v>0</v>
      </c>
      <c r="L327" s="22">
        <v>0</v>
      </c>
      <c r="M327" s="22">
        <f>L327-K327</f>
        <v>0</v>
      </c>
      <c r="N327" s="40" t="s">
        <v>46</v>
      </c>
      <c r="O327" s="40">
        <v>0</v>
      </c>
      <c r="P327" s="40">
        <f>L327+O327</f>
        <v>0</v>
      </c>
      <c r="Q327" s="40">
        <v>0</v>
      </c>
      <c r="R327" s="40">
        <v>0</v>
      </c>
      <c r="S327" s="40">
        <f>SUM(P327:R327)</f>
        <v>0</v>
      </c>
      <c r="T327" s="40">
        <v>0</v>
      </c>
      <c r="U327" s="40">
        <v>0</v>
      </c>
      <c r="V327" s="40">
        <v>0</v>
      </c>
      <c r="W327" s="22">
        <f t="shared" si="105"/>
        <v>0</v>
      </c>
      <c r="X327" s="22">
        <v>0</v>
      </c>
      <c r="Y327" s="23">
        <v>0</v>
      </c>
      <c r="Z327" s="140">
        <f t="shared" si="122"/>
        <v>0</v>
      </c>
      <c r="AA327" s="140">
        <v>0</v>
      </c>
      <c r="AB327" s="140">
        <v>0</v>
      </c>
      <c r="AC327" s="140">
        <v>0</v>
      </c>
      <c r="AD327" s="127">
        <f t="shared" ref="AD327:AD389" si="155">SUM(Z327:AC327)</f>
        <v>0</v>
      </c>
    </row>
    <row r="328" spans="1:30" ht="15" customHeight="1" x14ac:dyDescent="0.25">
      <c r="A328" s="69" t="s">
        <v>342</v>
      </c>
      <c r="B328" s="58"/>
      <c r="C328" s="22">
        <v>3678</v>
      </c>
      <c r="D328" s="22">
        <f>6934+90+483</f>
        <v>7507</v>
      </c>
      <c r="E328" s="40">
        <f t="shared" ref="E328:E329" si="156">SUM(C328:D328)</f>
        <v>11185</v>
      </c>
      <c r="F328" s="40">
        <v>2418</v>
      </c>
      <c r="G328" s="40">
        <f>200+4046</f>
        <v>4246</v>
      </c>
      <c r="H328" s="40">
        <f>SUM(E328:G328)+126</f>
        <v>17975</v>
      </c>
      <c r="I328" s="40">
        <v>0</v>
      </c>
      <c r="J328" s="40">
        <f>-307-277.4+1655+902</f>
        <v>1972.6</v>
      </c>
      <c r="K328" s="22">
        <f t="shared" si="146"/>
        <v>19947.599999999999</v>
      </c>
      <c r="L328" s="22">
        <v>10228</v>
      </c>
      <c r="M328" s="22">
        <f t="shared" ref="M328:M329" si="157">L328-K328</f>
        <v>-9719.5999999999985</v>
      </c>
      <c r="N328" s="40">
        <f t="shared" ref="N328:N329" si="158">L328/K328</f>
        <v>0.51274338767571037</v>
      </c>
      <c r="O328" s="40">
        <f>6509.37+101+2264</f>
        <v>8874.369999999999</v>
      </c>
      <c r="P328" s="40">
        <f>L328+O328+554</f>
        <v>19656.37</v>
      </c>
      <c r="Q328" s="40">
        <v>7540.66</v>
      </c>
      <c r="R328" s="40">
        <f>-89+1700+24</f>
        <v>1635</v>
      </c>
      <c r="S328" s="40">
        <f>SUM(P328:R328)+1194</f>
        <v>30026.03</v>
      </c>
      <c r="T328" s="40">
        <v>-413</v>
      </c>
      <c r="U328" s="40">
        <v>0</v>
      </c>
      <c r="V328" s="40">
        <f>308+2191</f>
        <v>2499</v>
      </c>
      <c r="W328" s="22">
        <f>SUM(S328:V328)+112</f>
        <v>32224.03</v>
      </c>
      <c r="X328" s="22">
        <f>500</f>
        <v>500</v>
      </c>
      <c r="Y328" s="23">
        <f>-772+656+77</f>
        <v>-39</v>
      </c>
      <c r="Z328" s="140">
        <f t="shared" si="122"/>
        <v>32685.03</v>
      </c>
      <c r="AA328" s="140">
        <f>164+18</f>
        <v>182</v>
      </c>
      <c r="AB328" s="140">
        <f>-9533.06</f>
        <v>-9533.06</v>
      </c>
      <c r="AC328" s="140">
        <v>0</v>
      </c>
      <c r="AD328" s="127">
        <f t="shared" si="155"/>
        <v>23333.97</v>
      </c>
    </row>
    <row r="329" spans="1:30" ht="24" customHeight="1" thickBot="1" x14ac:dyDescent="0.3">
      <c r="A329" s="24" t="s">
        <v>356</v>
      </c>
      <c r="B329" s="60"/>
      <c r="C329" s="26">
        <v>1057</v>
      </c>
      <c r="D329" s="26">
        <f>10</f>
        <v>10</v>
      </c>
      <c r="E329" s="61">
        <f t="shared" si="156"/>
        <v>1067</v>
      </c>
      <c r="F329" s="61">
        <v>4704.62</v>
      </c>
      <c r="G329" s="61">
        <v>0</v>
      </c>
      <c r="H329" s="61">
        <f t="shared" ref="H329" si="159">SUM(E329:G329)</f>
        <v>5771.62</v>
      </c>
      <c r="I329" s="61">
        <v>4065</v>
      </c>
      <c r="J329" s="61">
        <v>0</v>
      </c>
      <c r="K329" s="26">
        <f t="shared" si="146"/>
        <v>9836.619999999999</v>
      </c>
      <c r="L329" s="26">
        <v>1138.99</v>
      </c>
      <c r="M329" s="26">
        <f t="shared" si="157"/>
        <v>-8697.6299999999992</v>
      </c>
      <c r="N329" s="61">
        <f t="shared" si="158"/>
        <v>0.11579078992580787</v>
      </c>
      <c r="O329" s="61">
        <f>0-56</f>
        <v>-56</v>
      </c>
      <c r="P329" s="61">
        <f t="shared" ref="P329" si="160">L329+O329</f>
        <v>1082.99</v>
      </c>
      <c r="Q329" s="61">
        <v>595</v>
      </c>
      <c r="R329" s="61">
        <f>69.5</f>
        <v>69.5</v>
      </c>
      <c r="S329" s="61">
        <f t="shared" ref="S329" si="161">SUM(P329:R329)</f>
        <v>1747.49</v>
      </c>
      <c r="T329" s="61">
        <v>0</v>
      </c>
      <c r="U329" s="61">
        <v>0</v>
      </c>
      <c r="V329" s="61">
        <v>0</v>
      </c>
      <c r="W329" s="26">
        <f t="shared" si="105"/>
        <v>1747.49</v>
      </c>
      <c r="X329" s="26">
        <f>410</f>
        <v>410</v>
      </c>
      <c r="Y329" s="27">
        <v>0</v>
      </c>
      <c r="Z329" s="141">
        <f t="shared" si="122"/>
        <v>2157.4899999999998</v>
      </c>
      <c r="AA329" s="141">
        <v>0</v>
      </c>
      <c r="AB329" s="141">
        <f>-1678.2</f>
        <v>-1678.2</v>
      </c>
      <c r="AC329" s="141">
        <v>0</v>
      </c>
      <c r="AD329" s="128">
        <f t="shared" si="155"/>
        <v>479.28999999999974</v>
      </c>
    </row>
    <row r="330" spans="1:30" ht="16.350000000000001" customHeight="1" thickBot="1" x14ac:dyDescent="0.3">
      <c r="A330" s="106" t="s">
        <v>103</v>
      </c>
      <c r="B330" s="63"/>
      <c r="C330" s="107">
        <f>SUM(C332:C333)</f>
        <v>0</v>
      </c>
      <c r="D330" s="107">
        <f>SUM(D332:D333)</f>
        <v>0</v>
      </c>
      <c r="E330" s="108">
        <f>SUM(C330:D330)</f>
        <v>0</v>
      </c>
      <c r="F330" s="108">
        <f>SUM(F332:F333)</f>
        <v>0</v>
      </c>
      <c r="G330" s="108">
        <f>SUM(G332:G333)</f>
        <v>0</v>
      </c>
      <c r="H330" s="108">
        <f>SUM(H332:H333)</f>
        <v>0</v>
      </c>
      <c r="I330" s="108">
        <f>SUM(I332:I333)</f>
        <v>0</v>
      </c>
      <c r="J330" s="108">
        <f>SUM(J332:J333)</f>
        <v>0</v>
      </c>
      <c r="K330" s="54">
        <f t="shared" si="146"/>
        <v>0</v>
      </c>
      <c r="L330" s="107">
        <f t="shared" ref="L330" si="162">SUM(L332:L333)</f>
        <v>0</v>
      </c>
      <c r="M330" s="107">
        <f>SUM(M332:M333)</f>
        <v>0</v>
      </c>
      <c r="N330" s="108" t="s">
        <v>46</v>
      </c>
      <c r="O330" s="108">
        <f t="shared" ref="O330:T330" si="163">SUM(O332:O333)</f>
        <v>0</v>
      </c>
      <c r="P330" s="108">
        <f t="shared" si="163"/>
        <v>0</v>
      </c>
      <c r="Q330" s="108">
        <f t="shared" si="163"/>
        <v>0</v>
      </c>
      <c r="R330" s="108">
        <f t="shared" si="163"/>
        <v>0</v>
      </c>
      <c r="S330" s="108">
        <f t="shared" si="163"/>
        <v>0</v>
      </c>
      <c r="T330" s="108">
        <f t="shared" si="163"/>
        <v>0</v>
      </c>
      <c r="U330" s="108">
        <f>SUM(U332:U333)</f>
        <v>0</v>
      </c>
      <c r="V330" s="108">
        <f>SUM(V332:V333)</f>
        <v>0</v>
      </c>
      <c r="W330" s="54">
        <f>SUM(W332:W333)</f>
        <v>0</v>
      </c>
      <c r="X330" s="54">
        <f>SUM(X332:X333)</f>
        <v>0</v>
      </c>
      <c r="Y330" s="55">
        <f>SUM(Y332:Y333)</f>
        <v>0</v>
      </c>
      <c r="Z330" s="54">
        <f t="shared" si="122"/>
        <v>0</v>
      </c>
      <c r="AA330" s="54">
        <f>SUM(AA332:AA333)</f>
        <v>0</v>
      </c>
      <c r="AB330" s="54">
        <f>SUM(AB332:AB333)</f>
        <v>0</v>
      </c>
      <c r="AC330" s="54">
        <f>SUM(AC332:AC333)</f>
        <v>0</v>
      </c>
      <c r="AD330" s="133">
        <f t="shared" si="155"/>
        <v>0</v>
      </c>
    </row>
    <row r="331" spans="1:30" ht="15" customHeight="1" x14ac:dyDescent="0.25">
      <c r="A331" s="72" t="s">
        <v>54</v>
      </c>
      <c r="B331" s="64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88"/>
      <c r="O331" s="88"/>
      <c r="P331" s="88"/>
      <c r="Q331" s="88"/>
      <c r="R331" s="88"/>
      <c r="S331" s="88"/>
      <c r="T331" s="88"/>
      <c r="U331" s="88"/>
      <c r="V331" s="88"/>
      <c r="W331" s="18"/>
      <c r="X331" s="18"/>
      <c r="Y331" s="19"/>
      <c r="Z331" s="140"/>
      <c r="AA331" s="140"/>
      <c r="AB331" s="140"/>
      <c r="AC331" s="140"/>
      <c r="AD331" s="127"/>
    </row>
    <row r="332" spans="1:30" ht="15" customHeight="1" x14ac:dyDescent="0.25">
      <c r="A332" s="69" t="s">
        <v>342</v>
      </c>
      <c r="B332" s="58"/>
      <c r="C332" s="22">
        <v>0</v>
      </c>
      <c r="D332" s="22">
        <v>0</v>
      </c>
      <c r="E332" s="40">
        <f>SUM(C332:D332)</f>
        <v>0</v>
      </c>
      <c r="F332" s="40">
        <v>0</v>
      </c>
      <c r="G332" s="40">
        <v>0</v>
      </c>
      <c r="H332" s="40">
        <f>SUM(E332:G332)</f>
        <v>0</v>
      </c>
      <c r="I332" s="40">
        <v>0</v>
      </c>
      <c r="J332" s="40">
        <v>0</v>
      </c>
      <c r="K332" s="22">
        <f t="shared" si="146"/>
        <v>0</v>
      </c>
      <c r="L332" s="22">
        <v>0</v>
      </c>
      <c r="M332" s="22">
        <f>L332-K332</f>
        <v>0</v>
      </c>
      <c r="N332" s="40" t="s">
        <v>46</v>
      </c>
      <c r="O332" s="40">
        <v>0</v>
      </c>
      <c r="P332" s="40">
        <f>L332+O332</f>
        <v>0</v>
      </c>
      <c r="Q332" s="40">
        <v>0</v>
      </c>
      <c r="R332" s="40">
        <v>0</v>
      </c>
      <c r="S332" s="40">
        <f>SUM(P332:R332)</f>
        <v>0</v>
      </c>
      <c r="T332" s="40">
        <v>0</v>
      </c>
      <c r="U332" s="40">
        <v>0</v>
      </c>
      <c r="V332" s="40">
        <v>0</v>
      </c>
      <c r="W332" s="22">
        <f t="shared" si="105"/>
        <v>0</v>
      </c>
      <c r="X332" s="22">
        <v>0</v>
      </c>
      <c r="Y332" s="23">
        <v>0</v>
      </c>
      <c r="Z332" s="140">
        <f t="shared" si="122"/>
        <v>0</v>
      </c>
      <c r="AA332" s="140">
        <v>0</v>
      </c>
      <c r="AB332" s="140">
        <v>0</v>
      </c>
      <c r="AC332" s="140">
        <v>0</v>
      </c>
      <c r="AD332" s="127">
        <f t="shared" si="155"/>
        <v>0</v>
      </c>
    </row>
    <row r="333" spans="1:30" ht="15" customHeight="1" thickBot="1" x14ac:dyDescent="0.3">
      <c r="A333" s="70" t="s">
        <v>357</v>
      </c>
      <c r="B333" s="60"/>
      <c r="C333" s="26">
        <v>0</v>
      </c>
      <c r="D333" s="26">
        <v>0</v>
      </c>
      <c r="E333" s="61">
        <f>SUM(C333:D333)</f>
        <v>0</v>
      </c>
      <c r="F333" s="61">
        <v>0</v>
      </c>
      <c r="G333" s="61">
        <v>0</v>
      </c>
      <c r="H333" s="61">
        <f>SUM(E333:G333)</f>
        <v>0</v>
      </c>
      <c r="I333" s="61">
        <v>0</v>
      </c>
      <c r="J333" s="61">
        <v>0</v>
      </c>
      <c r="K333" s="26">
        <f t="shared" si="146"/>
        <v>0</v>
      </c>
      <c r="L333" s="26">
        <v>0</v>
      </c>
      <c r="M333" s="26">
        <f>L333-K333</f>
        <v>0</v>
      </c>
      <c r="N333" s="61" t="s">
        <v>46</v>
      </c>
      <c r="O333" s="61">
        <v>0</v>
      </c>
      <c r="P333" s="61">
        <f>L333+O333</f>
        <v>0</v>
      </c>
      <c r="Q333" s="61">
        <v>0</v>
      </c>
      <c r="R333" s="61">
        <v>0</v>
      </c>
      <c r="S333" s="61">
        <f>SUM(P333:R333)</f>
        <v>0</v>
      </c>
      <c r="T333" s="61">
        <v>0</v>
      </c>
      <c r="U333" s="61">
        <v>0</v>
      </c>
      <c r="V333" s="61">
        <v>0</v>
      </c>
      <c r="W333" s="26">
        <f t="shared" si="105"/>
        <v>0</v>
      </c>
      <c r="X333" s="26">
        <v>0</v>
      </c>
      <c r="Y333" s="27">
        <v>0</v>
      </c>
      <c r="Z333" s="145">
        <f t="shared" si="122"/>
        <v>0</v>
      </c>
      <c r="AA333" s="145">
        <v>0</v>
      </c>
      <c r="AB333" s="145">
        <v>0</v>
      </c>
      <c r="AC333" s="145">
        <v>0</v>
      </c>
      <c r="AD333" s="189">
        <f t="shared" si="155"/>
        <v>0</v>
      </c>
    </row>
    <row r="334" spans="1:30" ht="16.350000000000001" customHeight="1" thickBot="1" x14ac:dyDescent="0.3">
      <c r="A334" s="71" t="s">
        <v>106</v>
      </c>
      <c r="B334" s="65"/>
      <c r="C334" s="54">
        <f>SUM(C336:C354)</f>
        <v>0</v>
      </c>
      <c r="D334" s="54">
        <f>SUM(D336:D354)</f>
        <v>380</v>
      </c>
      <c r="E334" s="54">
        <f>SUM(C334:D334)</f>
        <v>380</v>
      </c>
      <c r="F334" s="54">
        <f>SUM(F336:F354)</f>
        <v>0</v>
      </c>
      <c r="G334" s="54">
        <f>SUM(G336:G354)</f>
        <v>1400</v>
      </c>
      <c r="H334" s="54">
        <f>SUM(H336:H354)</f>
        <v>1780</v>
      </c>
      <c r="I334" s="54">
        <f>SUM(I336:I354)</f>
        <v>0</v>
      </c>
      <c r="J334" s="54">
        <f>SUM(J336:J354)</f>
        <v>0</v>
      </c>
      <c r="K334" s="54">
        <f t="shared" si="146"/>
        <v>1780</v>
      </c>
      <c r="L334" s="54">
        <f>SUM(L336:L354)</f>
        <v>3048</v>
      </c>
      <c r="M334" s="54">
        <f>SUM(M336:M354)</f>
        <v>1268</v>
      </c>
      <c r="N334" s="54">
        <f>L334/K334</f>
        <v>1.7123595505617977</v>
      </c>
      <c r="O334" s="54">
        <f>SUM(O336:O342)</f>
        <v>0</v>
      </c>
      <c r="P334" s="54">
        <f t="shared" ref="P334:T334" si="164">SUM(P336:P354)</f>
        <v>3048</v>
      </c>
      <c r="Q334" s="54">
        <f t="shared" si="164"/>
        <v>3715</v>
      </c>
      <c r="R334" s="54">
        <f t="shared" si="164"/>
        <v>110</v>
      </c>
      <c r="S334" s="54">
        <f t="shared" si="164"/>
        <v>6873</v>
      </c>
      <c r="T334" s="54">
        <f t="shared" si="164"/>
        <v>815.35</v>
      </c>
      <c r="U334" s="54">
        <f>SUM(U336:U354)</f>
        <v>0</v>
      </c>
      <c r="V334" s="54">
        <f>SUM(V336:V354)</f>
        <v>171</v>
      </c>
      <c r="W334" s="54">
        <f>SUM(W336:W354)</f>
        <v>7859.35</v>
      </c>
      <c r="X334" s="54">
        <f>SUM(X336:X354)</f>
        <v>-500</v>
      </c>
      <c r="Y334" s="55">
        <f>SUM(Y336:Y354)</f>
        <v>180</v>
      </c>
      <c r="Z334" s="54">
        <f t="shared" si="122"/>
        <v>7539.35</v>
      </c>
      <c r="AA334" s="54">
        <f>SUM(AA336:AA354)</f>
        <v>685.5</v>
      </c>
      <c r="AB334" s="54">
        <f>SUM(AB336:AB354)</f>
        <v>-851</v>
      </c>
      <c r="AC334" s="54">
        <f>SUM(AC336:AC354)</f>
        <v>0</v>
      </c>
      <c r="AD334" s="133">
        <f t="shared" si="155"/>
        <v>7373.85</v>
      </c>
    </row>
    <row r="335" spans="1:30" ht="13.5" customHeight="1" x14ac:dyDescent="0.25">
      <c r="A335" s="72" t="s">
        <v>54</v>
      </c>
      <c r="B335" s="64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9"/>
      <c r="Z335" s="140"/>
      <c r="AA335" s="140"/>
      <c r="AB335" s="140"/>
      <c r="AC335" s="140"/>
      <c r="AD335" s="127"/>
    </row>
    <row r="336" spans="1:30" ht="15" customHeight="1" x14ac:dyDescent="0.25">
      <c r="A336" s="69" t="s">
        <v>358</v>
      </c>
      <c r="B336" s="58"/>
      <c r="C336" s="22">
        <v>0</v>
      </c>
      <c r="D336" s="22">
        <v>0</v>
      </c>
      <c r="E336" s="22">
        <f>SUM(C336:D336)</f>
        <v>0</v>
      </c>
      <c r="F336" s="22">
        <v>0</v>
      </c>
      <c r="G336" s="22">
        <v>0</v>
      </c>
      <c r="H336" s="22">
        <f>SUM(E336:G336)</f>
        <v>0</v>
      </c>
      <c r="I336" s="22">
        <v>0</v>
      </c>
      <c r="J336" s="22">
        <v>0</v>
      </c>
      <c r="K336" s="22">
        <f t="shared" si="146"/>
        <v>0</v>
      </c>
      <c r="L336" s="22">
        <v>0</v>
      </c>
      <c r="M336" s="22">
        <f>L336-K336</f>
        <v>0</v>
      </c>
      <c r="N336" s="40" t="s">
        <v>46</v>
      </c>
      <c r="O336" s="40">
        <v>0</v>
      </c>
      <c r="P336" s="40">
        <f>L336+O336</f>
        <v>0</v>
      </c>
      <c r="Q336" s="40">
        <v>0</v>
      </c>
      <c r="R336" s="40">
        <v>0</v>
      </c>
      <c r="S336" s="40">
        <f>SUM(P336:R336)</f>
        <v>0</v>
      </c>
      <c r="T336" s="40">
        <v>0</v>
      </c>
      <c r="U336" s="40">
        <v>0</v>
      </c>
      <c r="V336" s="40">
        <v>0</v>
      </c>
      <c r="W336" s="22">
        <f t="shared" si="105"/>
        <v>0</v>
      </c>
      <c r="X336" s="22">
        <v>0</v>
      </c>
      <c r="Y336" s="23">
        <v>0</v>
      </c>
      <c r="Z336" s="140">
        <f t="shared" si="122"/>
        <v>0</v>
      </c>
      <c r="AA336" s="140">
        <v>0</v>
      </c>
      <c r="AB336" s="140">
        <v>0</v>
      </c>
      <c r="AC336" s="140">
        <v>0</v>
      </c>
      <c r="AD336" s="127">
        <f t="shared" si="155"/>
        <v>0</v>
      </c>
    </row>
    <row r="337" spans="1:30" ht="15" customHeight="1" x14ac:dyDescent="0.25">
      <c r="A337" s="69" t="s">
        <v>342</v>
      </c>
      <c r="B337" s="58"/>
      <c r="C337" s="22">
        <v>0</v>
      </c>
      <c r="D337" s="22">
        <f>380</f>
        <v>380</v>
      </c>
      <c r="E337" s="22">
        <f t="shared" ref="E337:E354" si="165">SUM(C337:D337)</f>
        <v>380</v>
      </c>
      <c r="F337" s="22">
        <v>0</v>
      </c>
      <c r="G337" s="22">
        <f>1400</f>
        <v>1400</v>
      </c>
      <c r="H337" s="22">
        <f t="shared" ref="H337:H354" si="166">SUM(E337:G337)</f>
        <v>1780</v>
      </c>
      <c r="I337" s="22">
        <v>0</v>
      </c>
      <c r="J337" s="22">
        <v>0</v>
      </c>
      <c r="K337" s="22">
        <f t="shared" si="146"/>
        <v>1780</v>
      </c>
      <c r="L337" s="22">
        <v>2498</v>
      </c>
      <c r="M337" s="22">
        <f t="shared" ref="M337:M354" si="167">L337-K337</f>
        <v>718</v>
      </c>
      <c r="N337" s="40">
        <f t="shared" ref="N337" si="168">L337/K337</f>
        <v>1.4033707865168539</v>
      </c>
      <c r="O337" s="40">
        <v>0</v>
      </c>
      <c r="P337" s="40">
        <f t="shared" ref="P337:P354" si="169">L337+O337</f>
        <v>2498</v>
      </c>
      <c r="Q337" s="40">
        <v>1000</v>
      </c>
      <c r="R337" s="40">
        <f>45+65</f>
        <v>110</v>
      </c>
      <c r="S337" s="40">
        <f t="shared" ref="S337:S349" si="170">SUM(P337:R337)</f>
        <v>3608</v>
      </c>
      <c r="T337" s="40">
        <v>0</v>
      </c>
      <c r="U337" s="40">
        <v>0</v>
      </c>
      <c r="V337" s="40">
        <v>0</v>
      </c>
      <c r="W337" s="22">
        <f t="shared" si="105"/>
        <v>3608</v>
      </c>
      <c r="X337" s="22">
        <v>0</v>
      </c>
      <c r="Y337" s="23">
        <f>180</f>
        <v>180</v>
      </c>
      <c r="Z337" s="144">
        <f t="shared" si="122"/>
        <v>3788</v>
      </c>
      <c r="AA337" s="144">
        <v>0</v>
      </c>
      <c r="AB337" s="144">
        <v>0</v>
      </c>
      <c r="AC337" s="144">
        <v>0</v>
      </c>
      <c r="AD337" s="134">
        <f t="shared" si="155"/>
        <v>3788</v>
      </c>
    </row>
    <row r="338" spans="1:30" ht="36" customHeight="1" x14ac:dyDescent="0.25">
      <c r="A338" s="20" t="s">
        <v>359</v>
      </c>
      <c r="B338" s="58" t="s">
        <v>94</v>
      </c>
      <c r="C338" s="22"/>
      <c r="D338" s="22"/>
      <c r="E338" s="22"/>
      <c r="F338" s="22"/>
      <c r="G338" s="22"/>
      <c r="H338" s="22"/>
      <c r="I338" s="22"/>
      <c r="J338" s="22"/>
      <c r="K338" s="22"/>
      <c r="L338" s="22">
        <v>0</v>
      </c>
      <c r="M338" s="22"/>
      <c r="N338" s="40"/>
      <c r="O338" s="40"/>
      <c r="P338" s="40">
        <v>0</v>
      </c>
      <c r="Q338" s="40">
        <v>150</v>
      </c>
      <c r="R338" s="40">
        <v>0</v>
      </c>
      <c r="S338" s="40">
        <f t="shared" si="170"/>
        <v>150</v>
      </c>
      <c r="T338" s="40">
        <v>0</v>
      </c>
      <c r="U338" s="40">
        <v>0</v>
      </c>
      <c r="V338" s="40">
        <v>0</v>
      </c>
      <c r="W338" s="22">
        <f t="shared" si="105"/>
        <v>150</v>
      </c>
      <c r="X338" s="22">
        <v>0</v>
      </c>
      <c r="Y338" s="23">
        <v>0</v>
      </c>
      <c r="Z338" s="140">
        <f t="shared" si="122"/>
        <v>150</v>
      </c>
      <c r="AA338" s="140">
        <v>0</v>
      </c>
      <c r="AB338" s="140">
        <v>0</v>
      </c>
      <c r="AC338" s="140">
        <v>0</v>
      </c>
      <c r="AD338" s="127">
        <f t="shared" si="155"/>
        <v>150</v>
      </c>
    </row>
    <row r="339" spans="1:30" ht="39" customHeight="1" x14ac:dyDescent="0.25">
      <c r="A339" s="20" t="s">
        <v>360</v>
      </c>
      <c r="B339" s="58" t="s">
        <v>94</v>
      </c>
      <c r="C339" s="22"/>
      <c r="D339" s="22"/>
      <c r="E339" s="22"/>
      <c r="F339" s="22"/>
      <c r="G339" s="22"/>
      <c r="H339" s="22"/>
      <c r="I339" s="22"/>
      <c r="J339" s="22"/>
      <c r="K339" s="22"/>
      <c r="L339" s="22">
        <v>0</v>
      </c>
      <c r="M339" s="22"/>
      <c r="N339" s="40"/>
      <c r="O339" s="40"/>
      <c r="P339" s="40"/>
      <c r="Q339" s="40"/>
      <c r="R339" s="40"/>
      <c r="S339" s="40">
        <v>0</v>
      </c>
      <c r="T339" s="40">
        <v>25.35</v>
      </c>
      <c r="U339" s="40">
        <v>0</v>
      </c>
      <c r="V339" s="40">
        <v>0</v>
      </c>
      <c r="W339" s="22">
        <f t="shared" si="105"/>
        <v>25.35</v>
      </c>
      <c r="X339" s="22">
        <v>0</v>
      </c>
      <c r="Y339" s="23">
        <v>0</v>
      </c>
      <c r="Z339" s="140">
        <f t="shared" si="122"/>
        <v>25.35</v>
      </c>
      <c r="AA339" s="140">
        <v>0</v>
      </c>
      <c r="AB339" s="140">
        <v>0</v>
      </c>
      <c r="AC339" s="140">
        <v>0</v>
      </c>
      <c r="AD339" s="127">
        <f t="shared" si="155"/>
        <v>25.35</v>
      </c>
    </row>
    <row r="340" spans="1:30" ht="26.25" customHeight="1" x14ac:dyDescent="0.25">
      <c r="A340" s="20" t="s">
        <v>361</v>
      </c>
      <c r="B340" s="58" t="s">
        <v>94</v>
      </c>
      <c r="C340" s="22"/>
      <c r="D340" s="22"/>
      <c r="E340" s="22"/>
      <c r="F340" s="22"/>
      <c r="G340" s="22"/>
      <c r="H340" s="22"/>
      <c r="I340" s="22"/>
      <c r="J340" s="22"/>
      <c r="K340" s="22"/>
      <c r="L340" s="22">
        <v>0</v>
      </c>
      <c r="M340" s="22"/>
      <c r="N340" s="40"/>
      <c r="O340" s="40"/>
      <c r="P340" s="40"/>
      <c r="Q340" s="40"/>
      <c r="R340" s="40"/>
      <c r="S340" s="40">
        <v>0</v>
      </c>
      <c r="T340" s="40">
        <v>290</v>
      </c>
      <c r="U340" s="40">
        <v>0</v>
      </c>
      <c r="V340" s="40">
        <v>0</v>
      </c>
      <c r="W340" s="22">
        <f t="shared" si="105"/>
        <v>290</v>
      </c>
      <c r="X340" s="22">
        <v>0</v>
      </c>
      <c r="Y340" s="23">
        <v>0</v>
      </c>
      <c r="Z340" s="140">
        <f t="shared" si="122"/>
        <v>290</v>
      </c>
      <c r="AA340" s="140">
        <v>0</v>
      </c>
      <c r="AB340" s="140">
        <v>0</v>
      </c>
      <c r="AC340" s="140">
        <v>0</v>
      </c>
      <c r="AD340" s="127">
        <f t="shared" si="155"/>
        <v>290</v>
      </c>
    </row>
    <row r="341" spans="1:30" ht="28.5" customHeight="1" x14ac:dyDescent="0.25">
      <c r="A341" s="20" t="s">
        <v>362</v>
      </c>
      <c r="B341" s="58" t="s">
        <v>94</v>
      </c>
      <c r="C341" s="22"/>
      <c r="D341" s="22"/>
      <c r="E341" s="22"/>
      <c r="F341" s="22"/>
      <c r="G341" s="22"/>
      <c r="H341" s="22"/>
      <c r="I341" s="22"/>
      <c r="J341" s="22"/>
      <c r="K341" s="22"/>
      <c r="L341" s="22">
        <v>0</v>
      </c>
      <c r="M341" s="22"/>
      <c r="N341" s="40"/>
      <c r="O341" s="40"/>
      <c r="P341" s="40">
        <v>0</v>
      </c>
      <c r="Q341" s="40">
        <v>500</v>
      </c>
      <c r="R341" s="40">
        <v>0</v>
      </c>
      <c r="S341" s="40">
        <f t="shared" si="170"/>
        <v>500</v>
      </c>
      <c r="T341" s="40">
        <v>0</v>
      </c>
      <c r="U341" s="40">
        <v>0</v>
      </c>
      <c r="V341" s="40">
        <v>0</v>
      </c>
      <c r="W341" s="22">
        <f t="shared" ref="W341:W409" si="171">SUM(S341:V341)</f>
        <v>500</v>
      </c>
      <c r="X341" s="22">
        <v>0</v>
      </c>
      <c r="Y341" s="23">
        <v>0</v>
      </c>
      <c r="Z341" s="140">
        <f t="shared" si="122"/>
        <v>500</v>
      </c>
      <c r="AA341" s="140">
        <v>0</v>
      </c>
      <c r="AB341" s="140">
        <f>-101</f>
        <v>-101</v>
      </c>
      <c r="AC341" s="140">
        <v>0</v>
      </c>
      <c r="AD341" s="127">
        <f t="shared" si="155"/>
        <v>399</v>
      </c>
    </row>
    <row r="342" spans="1:30" ht="27.6" customHeight="1" x14ac:dyDescent="0.25">
      <c r="A342" s="20" t="s">
        <v>363</v>
      </c>
      <c r="B342" s="68" t="s">
        <v>94</v>
      </c>
      <c r="C342" s="22">
        <v>0</v>
      </c>
      <c r="D342" s="22"/>
      <c r="E342" s="22"/>
      <c r="F342" s="22"/>
      <c r="G342" s="22"/>
      <c r="H342" s="22"/>
      <c r="I342" s="22"/>
      <c r="J342" s="22"/>
      <c r="K342" s="22">
        <v>0</v>
      </c>
      <c r="L342" s="22">
        <v>550</v>
      </c>
      <c r="M342" s="22">
        <f t="shared" si="167"/>
        <v>550</v>
      </c>
      <c r="N342" s="40" t="s">
        <v>46</v>
      </c>
      <c r="O342" s="40">
        <v>0</v>
      </c>
      <c r="P342" s="40">
        <f t="shared" si="169"/>
        <v>550</v>
      </c>
      <c r="Q342" s="40">
        <v>0</v>
      </c>
      <c r="R342" s="40">
        <v>0</v>
      </c>
      <c r="S342" s="40">
        <f t="shared" si="170"/>
        <v>550</v>
      </c>
      <c r="T342" s="40">
        <v>0</v>
      </c>
      <c r="U342" s="40">
        <v>0</v>
      </c>
      <c r="V342" s="40">
        <v>0</v>
      </c>
      <c r="W342" s="22">
        <f t="shared" si="171"/>
        <v>550</v>
      </c>
      <c r="X342" s="22">
        <v>0</v>
      </c>
      <c r="Y342" s="23">
        <v>0</v>
      </c>
      <c r="Z342" s="140">
        <f t="shared" si="122"/>
        <v>550</v>
      </c>
      <c r="AA342" s="140">
        <v>0</v>
      </c>
      <c r="AB342" s="140">
        <v>0</v>
      </c>
      <c r="AC342" s="140">
        <v>0</v>
      </c>
      <c r="AD342" s="127">
        <f t="shared" si="155"/>
        <v>550</v>
      </c>
    </row>
    <row r="343" spans="1:30" ht="38.25" customHeight="1" x14ac:dyDescent="0.25">
      <c r="A343" s="20" t="s">
        <v>364</v>
      </c>
      <c r="B343" s="68" t="s">
        <v>94</v>
      </c>
      <c r="C343" s="22"/>
      <c r="D343" s="22"/>
      <c r="E343" s="22"/>
      <c r="F343" s="22"/>
      <c r="G343" s="22"/>
      <c r="H343" s="22"/>
      <c r="I343" s="22"/>
      <c r="J343" s="22"/>
      <c r="K343" s="22"/>
      <c r="L343" s="22">
        <v>0</v>
      </c>
      <c r="M343" s="22"/>
      <c r="N343" s="40"/>
      <c r="O343" s="40"/>
      <c r="P343" s="40">
        <v>0</v>
      </c>
      <c r="Q343" s="40">
        <v>600</v>
      </c>
      <c r="R343" s="40">
        <v>0</v>
      </c>
      <c r="S343" s="40">
        <f t="shared" si="170"/>
        <v>600</v>
      </c>
      <c r="T343" s="40">
        <v>0</v>
      </c>
      <c r="U343" s="40">
        <v>0</v>
      </c>
      <c r="V343" s="40">
        <v>0</v>
      </c>
      <c r="W343" s="22">
        <f t="shared" si="171"/>
        <v>600</v>
      </c>
      <c r="X343" s="22">
        <v>0</v>
      </c>
      <c r="Y343" s="23">
        <v>0</v>
      </c>
      <c r="Z343" s="140">
        <f t="shared" si="122"/>
        <v>600</v>
      </c>
      <c r="AA343" s="140">
        <v>0</v>
      </c>
      <c r="AB343" s="140">
        <v>0</v>
      </c>
      <c r="AC343" s="140">
        <v>0</v>
      </c>
      <c r="AD343" s="127">
        <f t="shared" si="155"/>
        <v>600</v>
      </c>
    </row>
    <row r="344" spans="1:30" ht="27.75" customHeight="1" x14ac:dyDescent="0.25">
      <c r="A344" s="20" t="s">
        <v>438</v>
      </c>
      <c r="B344" s="68" t="s">
        <v>439</v>
      </c>
      <c r="C344" s="22"/>
      <c r="D344" s="22"/>
      <c r="E344" s="22"/>
      <c r="F344" s="22"/>
      <c r="G344" s="22"/>
      <c r="H344" s="22"/>
      <c r="I344" s="22"/>
      <c r="J344" s="22"/>
      <c r="K344" s="22"/>
      <c r="L344" s="22">
        <v>0</v>
      </c>
      <c r="M344" s="22"/>
      <c r="N344" s="40"/>
      <c r="O344" s="40"/>
      <c r="P344" s="40"/>
      <c r="Q344" s="40"/>
      <c r="R344" s="40"/>
      <c r="S344" s="40"/>
      <c r="T344" s="40"/>
      <c r="U344" s="40"/>
      <c r="V344" s="40"/>
      <c r="W344" s="22"/>
      <c r="X344" s="22"/>
      <c r="Y344" s="23"/>
      <c r="Z344" s="140">
        <v>0</v>
      </c>
      <c r="AA344" s="140">
        <f>89.99</f>
        <v>89.99</v>
      </c>
      <c r="AB344" s="140">
        <v>0</v>
      </c>
      <c r="AC344" s="140">
        <v>0</v>
      </c>
      <c r="AD344" s="127">
        <f t="shared" si="155"/>
        <v>89.99</v>
      </c>
    </row>
    <row r="345" spans="1:30" ht="26.25" customHeight="1" x14ac:dyDescent="0.25">
      <c r="A345" s="20" t="s">
        <v>365</v>
      </c>
      <c r="B345" s="68" t="s">
        <v>94</v>
      </c>
      <c r="C345" s="22"/>
      <c r="D345" s="22"/>
      <c r="E345" s="22"/>
      <c r="F345" s="22"/>
      <c r="G345" s="22"/>
      <c r="H345" s="22"/>
      <c r="I345" s="22"/>
      <c r="J345" s="22"/>
      <c r="K345" s="22"/>
      <c r="L345" s="22">
        <v>0</v>
      </c>
      <c r="M345" s="22"/>
      <c r="N345" s="40"/>
      <c r="O345" s="40"/>
      <c r="P345" s="40">
        <v>0</v>
      </c>
      <c r="Q345" s="40">
        <v>115</v>
      </c>
      <c r="R345" s="40">
        <v>0</v>
      </c>
      <c r="S345" s="40">
        <f t="shared" si="170"/>
        <v>115</v>
      </c>
      <c r="T345" s="40">
        <v>0</v>
      </c>
      <c r="U345" s="40">
        <v>0</v>
      </c>
      <c r="V345" s="40">
        <v>0</v>
      </c>
      <c r="W345" s="22">
        <f t="shared" si="171"/>
        <v>115</v>
      </c>
      <c r="X345" s="22">
        <v>0</v>
      </c>
      <c r="Y345" s="23">
        <v>0</v>
      </c>
      <c r="Z345" s="140">
        <f t="shared" si="122"/>
        <v>115</v>
      </c>
      <c r="AA345" s="140">
        <v>0</v>
      </c>
      <c r="AB345" s="140">
        <v>0</v>
      </c>
      <c r="AC345" s="140">
        <v>0</v>
      </c>
      <c r="AD345" s="127">
        <f t="shared" si="155"/>
        <v>115</v>
      </c>
    </row>
    <row r="346" spans="1:30" ht="27" customHeight="1" x14ac:dyDescent="0.25">
      <c r="A346" s="20" t="s">
        <v>366</v>
      </c>
      <c r="B346" s="68" t="s">
        <v>94</v>
      </c>
      <c r="C346" s="22"/>
      <c r="D346" s="22"/>
      <c r="E346" s="22"/>
      <c r="F346" s="22"/>
      <c r="G346" s="22"/>
      <c r="H346" s="22"/>
      <c r="I346" s="22"/>
      <c r="J346" s="22"/>
      <c r="K346" s="22"/>
      <c r="L346" s="22">
        <v>0</v>
      </c>
      <c r="M346" s="22"/>
      <c r="N346" s="40"/>
      <c r="O346" s="40"/>
      <c r="P346" s="40">
        <v>0</v>
      </c>
      <c r="Q346" s="40">
        <v>200</v>
      </c>
      <c r="R346" s="40">
        <v>0</v>
      </c>
      <c r="S346" s="40">
        <f t="shared" si="170"/>
        <v>200</v>
      </c>
      <c r="T346" s="40">
        <v>0</v>
      </c>
      <c r="U346" s="40">
        <v>0</v>
      </c>
      <c r="V346" s="40">
        <v>0</v>
      </c>
      <c r="W346" s="22">
        <f t="shared" si="171"/>
        <v>200</v>
      </c>
      <c r="X346" s="22">
        <v>0</v>
      </c>
      <c r="Y346" s="23">
        <v>0</v>
      </c>
      <c r="Z346" s="140">
        <f t="shared" si="122"/>
        <v>200</v>
      </c>
      <c r="AA346" s="140">
        <v>0</v>
      </c>
      <c r="AB346" s="140">
        <v>0</v>
      </c>
      <c r="AC346" s="140">
        <v>0</v>
      </c>
      <c r="AD346" s="127">
        <f t="shared" si="155"/>
        <v>200</v>
      </c>
    </row>
    <row r="347" spans="1:30" ht="27.6" customHeight="1" x14ac:dyDescent="0.25">
      <c r="A347" s="20" t="s">
        <v>367</v>
      </c>
      <c r="B347" s="68" t="s">
        <v>94</v>
      </c>
      <c r="C347" s="22"/>
      <c r="D347" s="22"/>
      <c r="E347" s="22"/>
      <c r="F347" s="22"/>
      <c r="G347" s="22"/>
      <c r="H347" s="22"/>
      <c r="I347" s="22"/>
      <c r="J347" s="22"/>
      <c r="K347" s="22"/>
      <c r="L347" s="22">
        <v>0</v>
      </c>
      <c r="M347" s="22"/>
      <c r="N347" s="40"/>
      <c r="O347" s="40"/>
      <c r="P347" s="40">
        <v>0</v>
      </c>
      <c r="Q347" s="40">
        <v>300</v>
      </c>
      <c r="R347" s="40">
        <v>0</v>
      </c>
      <c r="S347" s="40">
        <f t="shared" si="170"/>
        <v>300</v>
      </c>
      <c r="T347" s="40">
        <v>0</v>
      </c>
      <c r="U347" s="40">
        <v>0</v>
      </c>
      <c r="V347" s="40">
        <v>0</v>
      </c>
      <c r="W347" s="22">
        <f t="shared" si="171"/>
        <v>300</v>
      </c>
      <c r="X347" s="22">
        <v>0</v>
      </c>
      <c r="Y347" s="23">
        <v>0</v>
      </c>
      <c r="Z347" s="140">
        <f t="shared" si="122"/>
        <v>300</v>
      </c>
      <c r="AA347" s="140">
        <v>0</v>
      </c>
      <c r="AB347" s="140">
        <v>0</v>
      </c>
      <c r="AC347" s="140">
        <v>0</v>
      </c>
      <c r="AD347" s="127">
        <f t="shared" si="155"/>
        <v>300</v>
      </c>
    </row>
    <row r="348" spans="1:30" ht="31.5" customHeight="1" x14ac:dyDescent="0.25">
      <c r="A348" s="20" t="s">
        <v>368</v>
      </c>
      <c r="B348" s="68" t="s">
        <v>94</v>
      </c>
      <c r="C348" s="22"/>
      <c r="D348" s="22"/>
      <c r="E348" s="22"/>
      <c r="F348" s="22"/>
      <c r="G348" s="22"/>
      <c r="H348" s="22"/>
      <c r="I348" s="22"/>
      <c r="J348" s="22"/>
      <c r="K348" s="22"/>
      <c r="L348" s="22">
        <v>0</v>
      </c>
      <c r="M348" s="22"/>
      <c r="N348" s="40"/>
      <c r="O348" s="40"/>
      <c r="P348" s="40">
        <v>0</v>
      </c>
      <c r="Q348" s="40">
        <v>100</v>
      </c>
      <c r="R348" s="40">
        <v>0</v>
      </c>
      <c r="S348" s="40">
        <f t="shared" si="170"/>
        <v>100</v>
      </c>
      <c r="T348" s="40">
        <v>0</v>
      </c>
      <c r="U348" s="40">
        <v>0</v>
      </c>
      <c r="V348" s="40">
        <v>0</v>
      </c>
      <c r="W348" s="22">
        <f t="shared" si="171"/>
        <v>100</v>
      </c>
      <c r="X348" s="22">
        <v>0</v>
      </c>
      <c r="Y348" s="23">
        <v>0</v>
      </c>
      <c r="Z348" s="140">
        <f t="shared" si="122"/>
        <v>100</v>
      </c>
      <c r="AA348" s="140">
        <v>0</v>
      </c>
      <c r="AB348" s="140">
        <v>0</v>
      </c>
      <c r="AC348" s="140">
        <v>0</v>
      </c>
      <c r="AD348" s="127">
        <f t="shared" si="155"/>
        <v>100</v>
      </c>
    </row>
    <row r="349" spans="1:30" ht="38.25" customHeight="1" x14ac:dyDescent="0.25">
      <c r="A349" s="20" t="s">
        <v>369</v>
      </c>
      <c r="B349" s="68" t="s">
        <v>94</v>
      </c>
      <c r="C349" s="22"/>
      <c r="D349" s="22"/>
      <c r="E349" s="22"/>
      <c r="F349" s="22"/>
      <c r="G349" s="22"/>
      <c r="H349" s="22"/>
      <c r="I349" s="22"/>
      <c r="J349" s="22"/>
      <c r="K349" s="22"/>
      <c r="L349" s="22">
        <v>0</v>
      </c>
      <c r="M349" s="22"/>
      <c r="N349" s="40"/>
      <c r="O349" s="40"/>
      <c r="P349" s="40">
        <v>0</v>
      </c>
      <c r="Q349" s="40">
        <v>750</v>
      </c>
      <c r="R349" s="40">
        <v>0</v>
      </c>
      <c r="S349" s="40">
        <f t="shared" si="170"/>
        <v>750</v>
      </c>
      <c r="T349" s="40">
        <v>0</v>
      </c>
      <c r="U349" s="40">
        <v>0</v>
      </c>
      <c r="V349" s="40">
        <v>0</v>
      </c>
      <c r="W349" s="22">
        <f t="shared" si="171"/>
        <v>750</v>
      </c>
      <c r="X349" s="22">
        <v>0</v>
      </c>
      <c r="Y349" s="23">
        <v>0</v>
      </c>
      <c r="Z349" s="140">
        <f t="shared" si="122"/>
        <v>750</v>
      </c>
      <c r="AA349" s="140">
        <v>0</v>
      </c>
      <c r="AB349" s="140">
        <f>-750</f>
        <v>-750</v>
      </c>
      <c r="AC349" s="140">
        <v>0</v>
      </c>
      <c r="AD349" s="127">
        <f t="shared" si="155"/>
        <v>0</v>
      </c>
    </row>
    <row r="350" spans="1:30" ht="20.25" customHeight="1" x14ac:dyDescent="0.25">
      <c r="A350" s="20" t="s">
        <v>434</v>
      </c>
      <c r="B350" s="68" t="s">
        <v>430</v>
      </c>
      <c r="C350" s="22"/>
      <c r="D350" s="22"/>
      <c r="E350" s="22"/>
      <c r="F350" s="22"/>
      <c r="G350" s="22"/>
      <c r="H350" s="22"/>
      <c r="I350" s="22"/>
      <c r="J350" s="22"/>
      <c r="K350" s="22"/>
      <c r="L350" s="22">
        <v>0</v>
      </c>
      <c r="M350" s="22"/>
      <c r="N350" s="40"/>
      <c r="O350" s="40"/>
      <c r="P350" s="40"/>
      <c r="Q350" s="40"/>
      <c r="R350" s="40"/>
      <c r="S350" s="40"/>
      <c r="T350" s="40"/>
      <c r="U350" s="40"/>
      <c r="V350" s="40"/>
      <c r="W350" s="22"/>
      <c r="X350" s="22"/>
      <c r="Y350" s="23"/>
      <c r="Z350" s="140">
        <v>0</v>
      </c>
      <c r="AA350" s="140">
        <f>562.42</f>
        <v>562.41999999999996</v>
      </c>
      <c r="AB350" s="140">
        <v>0</v>
      </c>
      <c r="AC350" s="140">
        <v>0</v>
      </c>
      <c r="AD350" s="127">
        <f t="shared" si="155"/>
        <v>562.41999999999996</v>
      </c>
    </row>
    <row r="351" spans="1:30" ht="20.25" customHeight="1" x14ac:dyDescent="0.25">
      <c r="A351" s="20" t="s">
        <v>435</v>
      </c>
      <c r="B351" s="68" t="s">
        <v>430</v>
      </c>
      <c r="C351" s="22"/>
      <c r="D351" s="22"/>
      <c r="E351" s="22"/>
      <c r="F351" s="22"/>
      <c r="G351" s="22"/>
      <c r="H351" s="22"/>
      <c r="I351" s="22"/>
      <c r="J351" s="22"/>
      <c r="K351" s="22"/>
      <c r="L351" s="22">
        <v>0</v>
      </c>
      <c r="M351" s="22"/>
      <c r="N351" s="40"/>
      <c r="O351" s="40"/>
      <c r="P351" s="40"/>
      <c r="Q351" s="40"/>
      <c r="R351" s="40"/>
      <c r="S351" s="40"/>
      <c r="T351" s="40"/>
      <c r="U351" s="40"/>
      <c r="V351" s="40"/>
      <c r="W351" s="22"/>
      <c r="X351" s="22"/>
      <c r="Y351" s="23"/>
      <c r="Z351" s="140">
        <v>0</v>
      </c>
      <c r="AA351" s="140">
        <f>33.09</f>
        <v>33.090000000000003</v>
      </c>
      <c r="AB351" s="140">
        <v>0</v>
      </c>
      <c r="AC351" s="140">
        <v>0</v>
      </c>
      <c r="AD351" s="127">
        <f t="shared" si="155"/>
        <v>33.090000000000003</v>
      </c>
    </row>
    <row r="352" spans="1:30" ht="38.25" customHeight="1" x14ac:dyDescent="0.25">
      <c r="A352" s="20" t="s">
        <v>370</v>
      </c>
      <c r="B352" s="68" t="s">
        <v>94</v>
      </c>
      <c r="C352" s="22"/>
      <c r="D352" s="22"/>
      <c r="E352" s="22"/>
      <c r="F352" s="22"/>
      <c r="G352" s="22"/>
      <c r="H352" s="22"/>
      <c r="I352" s="22"/>
      <c r="J352" s="22"/>
      <c r="K352" s="22"/>
      <c r="L352" s="22">
        <v>0</v>
      </c>
      <c r="M352" s="22"/>
      <c r="N352" s="40"/>
      <c r="O352" s="40"/>
      <c r="P352" s="40"/>
      <c r="Q352" s="40"/>
      <c r="R352" s="40"/>
      <c r="S352" s="40">
        <v>0</v>
      </c>
      <c r="T352" s="40">
        <v>500</v>
      </c>
      <c r="U352" s="40">
        <v>0</v>
      </c>
      <c r="V352" s="40">
        <v>0</v>
      </c>
      <c r="W352" s="22">
        <f t="shared" si="171"/>
        <v>500</v>
      </c>
      <c r="X352" s="22">
        <f>-500</f>
        <v>-500</v>
      </c>
      <c r="Y352" s="23">
        <v>0</v>
      </c>
      <c r="Z352" s="140">
        <f t="shared" si="122"/>
        <v>0</v>
      </c>
      <c r="AA352" s="140">
        <v>0</v>
      </c>
      <c r="AB352" s="140">
        <v>0</v>
      </c>
      <c r="AC352" s="140">
        <v>0</v>
      </c>
      <c r="AD352" s="127">
        <f t="shared" si="155"/>
        <v>0</v>
      </c>
    </row>
    <row r="353" spans="1:30" ht="52.5" customHeight="1" x14ac:dyDescent="0.25">
      <c r="A353" s="20" t="s">
        <v>371</v>
      </c>
      <c r="B353" s="68" t="s">
        <v>94</v>
      </c>
      <c r="C353" s="22"/>
      <c r="D353" s="22"/>
      <c r="E353" s="22"/>
      <c r="F353" s="22"/>
      <c r="G353" s="22"/>
      <c r="H353" s="22"/>
      <c r="I353" s="22"/>
      <c r="J353" s="22"/>
      <c r="K353" s="22"/>
      <c r="L353" s="22">
        <v>0</v>
      </c>
      <c r="M353" s="22"/>
      <c r="N353" s="40"/>
      <c r="O353" s="40"/>
      <c r="P353" s="40"/>
      <c r="Q353" s="40"/>
      <c r="R353" s="40"/>
      <c r="S353" s="40">
        <v>0</v>
      </c>
      <c r="T353" s="40">
        <v>0</v>
      </c>
      <c r="U353" s="40">
        <v>0</v>
      </c>
      <c r="V353" s="40">
        <f>171</f>
        <v>171</v>
      </c>
      <c r="W353" s="22">
        <f>SUM(S353:V353)</f>
        <v>171</v>
      </c>
      <c r="X353" s="22">
        <v>0</v>
      </c>
      <c r="Y353" s="23">
        <v>0</v>
      </c>
      <c r="Z353" s="140">
        <f t="shared" si="122"/>
        <v>171</v>
      </c>
      <c r="AA353" s="140">
        <v>0</v>
      </c>
      <c r="AB353" s="140">
        <v>0</v>
      </c>
      <c r="AC353" s="140">
        <v>0</v>
      </c>
      <c r="AD353" s="127">
        <f t="shared" si="155"/>
        <v>171</v>
      </c>
    </row>
    <row r="354" spans="1:30" ht="15" customHeight="1" thickBot="1" x14ac:dyDescent="0.3">
      <c r="A354" s="70" t="s">
        <v>372</v>
      </c>
      <c r="B354" s="60"/>
      <c r="C354" s="26">
        <v>0</v>
      </c>
      <c r="D354" s="26">
        <v>0</v>
      </c>
      <c r="E354" s="26">
        <f t="shared" si="165"/>
        <v>0</v>
      </c>
      <c r="F354" s="26">
        <v>0</v>
      </c>
      <c r="G354" s="26">
        <v>0</v>
      </c>
      <c r="H354" s="26">
        <f t="shared" si="166"/>
        <v>0</v>
      </c>
      <c r="I354" s="26">
        <v>0</v>
      </c>
      <c r="J354" s="26">
        <v>0</v>
      </c>
      <c r="K354" s="26">
        <f t="shared" si="146"/>
        <v>0</v>
      </c>
      <c r="L354" s="26">
        <v>0</v>
      </c>
      <c r="M354" s="26">
        <f t="shared" si="167"/>
        <v>0</v>
      </c>
      <c r="N354" s="61" t="s">
        <v>46</v>
      </c>
      <c r="O354" s="61">
        <v>0</v>
      </c>
      <c r="P354" s="61">
        <f t="shared" si="169"/>
        <v>0</v>
      </c>
      <c r="Q354" s="61">
        <v>0</v>
      </c>
      <c r="R354" s="61">
        <v>0</v>
      </c>
      <c r="S354" s="61">
        <f>SUM(P354:R354)</f>
        <v>0</v>
      </c>
      <c r="T354" s="61">
        <v>0</v>
      </c>
      <c r="U354" s="61">
        <v>0</v>
      </c>
      <c r="V354" s="61">
        <v>0</v>
      </c>
      <c r="W354" s="26">
        <f t="shared" si="171"/>
        <v>0</v>
      </c>
      <c r="X354" s="26">
        <v>0</v>
      </c>
      <c r="Y354" s="27">
        <v>0</v>
      </c>
      <c r="Z354" s="141">
        <f t="shared" si="122"/>
        <v>0</v>
      </c>
      <c r="AA354" s="141">
        <v>0</v>
      </c>
      <c r="AB354" s="141">
        <v>0</v>
      </c>
      <c r="AC354" s="141">
        <v>0</v>
      </c>
      <c r="AD354" s="128">
        <f t="shared" si="155"/>
        <v>0</v>
      </c>
    </row>
    <row r="355" spans="1:30" ht="16.350000000000001" customHeight="1" thickBot="1" x14ac:dyDescent="0.3">
      <c r="A355" s="71" t="s">
        <v>222</v>
      </c>
      <c r="B355" s="65"/>
      <c r="C355" s="54">
        <f>SUM(C357:C359)</f>
        <v>3390</v>
      </c>
      <c r="D355" s="54">
        <f>SUM(D357:D359)</f>
        <v>0</v>
      </c>
      <c r="E355" s="54">
        <f>SUM(C355:D355)</f>
        <v>3390</v>
      </c>
      <c r="F355" s="54">
        <f>SUM(F357:F359)</f>
        <v>4156</v>
      </c>
      <c r="G355" s="54">
        <f>SUM(G357:G359)</f>
        <v>300</v>
      </c>
      <c r="H355" s="54">
        <f>SUM(H357:H359)</f>
        <v>7846</v>
      </c>
      <c r="I355" s="54">
        <f>SUM(I357:I359)</f>
        <v>2300</v>
      </c>
      <c r="J355" s="54">
        <f>SUM(J357:J359)</f>
        <v>4665</v>
      </c>
      <c r="K355" s="54">
        <f t="shared" si="146"/>
        <v>14811</v>
      </c>
      <c r="L355" s="54">
        <f t="shared" ref="L355" si="172">SUM(L357:L359)</f>
        <v>19728</v>
      </c>
      <c r="M355" s="54">
        <f>SUM(M357:M359)</f>
        <v>4917</v>
      </c>
      <c r="N355" s="105">
        <f>L355/K355</f>
        <v>1.3319829856187968</v>
      </c>
      <c r="O355" s="105">
        <f t="shared" ref="O355:T355" si="173">SUM(O357:O359)</f>
        <v>0</v>
      </c>
      <c r="P355" s="105">
        <f t="shared" si="173"/>
        <v>19728</v>
      </c>
      <c r="Q355" s="105">
        <f t="shared" si="173"/>
        <v>8133</v>
      </c>
      <c r="R355" s="105">
        <f t="shared" si="173"/>
        <v>11</v>
      </c>
      <c r="S355" s="105">
        <f t="shared" si="173"/>
        <v>27872</v>
      </c>
      <c r="T355" s="105">
        <f t="shared" si="173"/>
        <v>0</v>
      </c>
      <c r="U355" s="105">
        <f>SUM(U357:U359)</f>
        <v>0</v>
      </c>
      <c r="V355" s="105">
        <f>SUM(V357:V359)</f>
        <v>2809</v>
      </c>
      <c r="W355" s="54">
        <f>SUM(W357:W359)</f>
        <v>31691</v>
      </c>
      <c r="X355" s="54">
        <f>SUM(X357:X359)</f>
        <v>1680</v>
      </c>
      <c r="Y355" s="55">
        <f>SUM(Y357:Y359)</f>
        <v>2104</v>
      </c>
      <c r="Z355" s="54">
        <f t="shared" si="122"/>
        <v>35475</v>
      </c>
      <c r="AA355" s="54">
        <f>SUM(AA357:AA359)</f>
        <v>2744</v>
      </c>
      <c r="AB355" s="54">
        <f>SUM(AB357:AB359)</f>
        <v>-11783</v>
      </c>
      <c r="AC355" s="54">
        <f>SUM(AC357:AC359)</f>
        <v>0</v>
      </c>
      <c r="AD355" s="133">
        <f t="shared" si="155"/>
        <v>26436</v>
      </c>
    </row>
    <row r="356" spans="1:30" ht="14.25" customHeight="1" x14ac:dyDescent="0.25">
      <c r="A356" s="72" t="s">
        <v>54</v>
      </c>
      <c r="B356" s="64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88"/>
      <c r="O356" s="88"/>
      <c r="P356" s="88"/>
      <c r="Q356" s="88"/>
      <c r="R356" s="88"/>
      <c r="S356" s="88"/>
      <c r="T356" s="88"/>
      <c r="U356" s="88"/>
      <c r="V356" s="88"/>
      <c r="W356" s="18"/>
      <c r="X356" s="18"/>
      <c r="Y356" s="19"/>
      <c r="Z356" s="140"/>
      <c r="AA356" s="140"/>
      <c r="AB356" s="140"/>
      <c r="AC356" s="140"/>
      <c r="AD356" s="127"/>
    </row>
    <row r="357" spans="1:30" ht="22.5" customHeight="1" x14ac:dyDescent="0.25">
      <c r="A357" s="20" t="s">
        <v>373</v>
      </c>
      <c r="B357" s="58"/>
      <c r="C357" s="22">
        <v>0</v>
      </c>
      <c r="D357" s="22">
        <v>0</v>
      </c>
      <c r="E357" s="40">
        <f>SUM(C357:D357)</f>
        <v>0</v>
      </c>
      <c r="F357" s="40">
        <v>0</v>
      </c>
      <c r="G357" s="40">
        <v>0</v>
      </c>
      <c r="H357" s="40">
        <f>SUM(E357:G357)</f>
        <v>0</v>
      </c>
      <c r="I357" s="40">
        <v>0</v>
      </c>
      <c r="J357" s="40">
        <v>0</v>
      </c>
      <c r="K357" s="22">
        <f t="shared" si="146"/>
        <v>0</v>
      </c>
      <c r="L357" s="22">
        <v>0</v>
      </c>
      <c r="M357" s="22">
        <f>L357-K357</f>
        <v>0</v>
      </c>
      <c r="N357" s="40" t="s">
        <v>46</v>
      </c>
      <c r="O357" s="40">
        <v>0</v>
      </c>
      <c r="P357" s="40">
        <f>L357+O357</f>
        <v>0</v>
      </c>
      <c r="Q357" s="40">
        <v>0</v>
      </c>
      <c r="R357" s="40">
        <v>0</v>
      </c>
      <c r="S357" s="40">
        <f>SUM(P357:R357)</f>
        <v>0</v>
      </c>
      <c r="T357" s="40">
        <v>0</v>
      </c>
      <c r="U357" s="40">
        <v>0</v>
      </c>
      <c r="V357" s="40">
        <v>0</v>
      </c>
      <c r="W357" s="22">
        <f t="shared" si="171"/>
        <v>0</v>
      </c>
      <c r="X357" s="22">
        <v>0</v>
      </c>
      <c r="Y357" s="23">
        <v>0</v>
      </c>
      <c r="Z357" s="140">
        <f t="shared" si="122"/>
        <v>0</v>
      </c>
      <c r="AA357" s="140">
        <v>0</v>
      </c>
      <c r="AB357" s="140">
        <v>0</v>
      </c>
      <c r="AC357" s="140">
        <v>0</v>
      </c>
      <c r="AD357" s="127">
        <f t="shared" si="155"/>
        <v>0</v>
      </c>
    </row>
    <row r="358" spans="1:30" ht="15" customHeight="1" x14ac:dyDescent="0.25">
      <c r="A358" s="69" t="s">
        <v>342</v>
      </c>
      <c r="B358" s="58"/>
      <c r="C358" s="22">
        <v>3390</v>
      </c>
      <c r="D358" s="22">
        <v>0</v>
      </c>
      <c r="E358" s="40">
        <f t="shared" ref="E358:E359" si="174">SUM(C358:D358)</f>
        <v>3390</v>
      </c>
      <c r="F358" s="40">
        <v>4156</v>
      </c>
      <c r="G358" s="40">
        <f>300</f>
        <v>300</v>
      </c>
      <c r="H358" s="40">
        <f t="shared" ref="H358:H359" si="175">SUM(E358:G358)</f>
        <v>7846</v>
      </c>
      <c r="I358" s="40">
        <v>2300</v>
      </c>
      <c r="J358" s="40">
        <f>130+163+4372</f>
        <v>4665</v>
      </c>
      <c r="K358" s="22">
        <f t="shared" si="146"/>
        <v>14811</v>
      </c>
      <c r="L358" s="22">
        <v>19728</v>
      </c>
      <c r="M358" s="22">
        <f t="shared" ref="M358:M359" si="176">L358-K358</f>
        <v>4917</v>
      </c>
      <c r="N358" s="40">
        <f t="shared" ref="N358" si="177">L358/K358</f>
        <v>1.3319829856187968</v>
      </c>
      <c r="O358" s="40">
        <f>0</f>
        <v>0</v>
      </c>
      <c r="P358" s="40">
        <f t="shared" ref="P358:P359" si="178">L358+O358</f>
        <v>19728</v>
      </c>
      <c r="Q358" s="40">
        <v>8133</v>
      </c>
      <c r="R358" s="40">
        <f>11</f>
        <v>11</v>
      </c>
      <c r="S358" s="40">
        <f t="shared" ref="S358" si="179">SUM(P358:R358)</f>
        <v>27872</v>
      </c>
      <c r="T358" s="40">
        <v>0</v>
      </c>
      <c r="U358" s="40">
        <v>0</v>
      </c>
      <c r="V358" s="40">
        <f>1842+967</f>
        <v>2809</v>
      </c>
      <c r="W358" s="22">
        <f>SUM(S358:V358)+1010</f>
        <v>31691</v>
      </c>
      <c r="X358" s="22">
        <f>1680</f>
        <v>1680</v>
      </c>
      <c r="Y358" s="23">
        <f>749+476+879</f>
        <v>2104</v>
      </c>
      <c r="Z358" s="140">
        <f t="shared" si="122"/>
        <v>35475</v>
      </c>
      <c r="AA358" s="140">
        <f>2744</f>
        <v>2744</v>
      </c>
      <c r="AB358" s="140">
        <f>-11783</f>
        <v>-11783</v>
      </c>
      <c r="AC358" s="140">
        <v>0</v>
      </c>
      <c r="AD358" s="127">
        <f t="shared" si="155"/>
        <v>26436</v>
      </c>
    </row>
    <row r="359" spans="1:30" ht="24.75" customHeight="1" thickBot="1" x14ac:dyDescent="0.3">
      <c r="A359" s="24" t="s">
        <v>374</v>
      </c>
      <c r="B359" s="60"/>
      <c r="C359" s="26">
        <v>0</v>
      </c>
      <c r="D359" s="26">
        <v>0</v>
      </c>
      <c r="E359" s="61">
        <f t="shared" si="174"/>
        <v>0</v>
      </c>
      <c r="F359" s="61">
        <v>0</v>
      </c>
      <c r="G359" s="61">
        <v>0</v>
      </c>
      <c r="H359" s="61">
        <f t="shared" si="175"/>
        <v>0</v>
      </c>
      <c r="I359" s="61">
        <v>0</v>
      </c>
      <c r="J359" s="61">
        <v>0</v>
      </c>
      <c r="K359" s="26">
        <f t="shared" si="146"/>
        <v>0</v>
      </c>
      <c r="L359" s="26">
        <v>0</v>
      </c>
      <c r="M359" s="26">
        <f t="shared" si="176"/>
        <v>0</v>
      </c>
      <c r="N359" s="61" t="s">
        <v>46</v>
      </c>
      <c r="O359" s="61">
        <v>0</v>
      </c>
      <c r="P359" s="61">
        <f t="shared" si="178"/>
        <v>0</v>
      </c>
      <c r="Q359" s="61">
        <v>0</v>
      </c>
      <c r="R359" s="61">
        <v>0</v>
      </c>
      <c r="S359" s="61">
        <f>SUM(P359:R359)</f>
        <v>0</v>
      </c>
      <c r="T359" s="61">
        <v>0</v>
      </c>
      <c r="U359" s="61">
        <v>0</v>
      </c>
      <c r="V359" s="61">
        <v>0</v>
      </c>
      <c r="W359" s="26">
        <f t="shared" si="171"/>
        <v>0</v>
      </c>
      <c r="X359" s="26">
        <v>0</v>
      </c>
      <c r="Y359" s="27">
        <v>0</v>
      </c>
      <c r="Z359" s="141">
        <f t="shared" si="122"/>
        <v>0</v>
      </c>
      <c r="AA359" s="141">
        <v>0</v>
      </c>
      <c r="AB359" s="141">
        <v>0</v>
      </c>
      <c r="AC359" s="141">
        <v>0</v>
      </c>
      <c r="AD359" s="128">
        <f t="shared" si="155"/>
        <v>0</v>
      </c>
    </row>
    <row r="360" spans="1:30" ht="16.350000000000001" customHeight="1" thickBot="1" x14ac:dyDescent="0.3">
      <c r="A360" s="71" t="s">
        <v>233</v>
      </c>
      <c r="B360" s="65"/>
      <c r="C360" s="54">
        <f>SUM(C362:C367)</f>
        <v>3914.71</v>
      </c>
      <c r="D360" s="54">
        <f>SUM(D362:D367)</f>
        <v>0</v>
      </c>
      <c r="E360" s="54">
        <f>SUM(C360:D360)</f>
        <v>3914.71</v>
      </c>
      <c r="F360" s="54">
        <f>SUM(F362:F367)</f>
        <v>2550</v>
      </c>
      <c r="G360" s="54">
        <f>SUM(G362:G367)</f>
        <v>-110</v>
      </c>
      <c r="H360" s="54">
        <f>SUM(H362:H367)</f>
        <v>6354.71</v>
      </c>
      <c r="I360" s="54">
        <f>SUM(I362:I367)</f>
        <v>1306</v>
      </c>
      <c r="J360" s="54">
        <f>SUM(J362:J367)</f>
        <v>0</v>
      </c>
      <c r="K360" s="54">
        <f t="shared" si="146"/>
        <v>7660.71</v>
      </c>
      <c r="L360" s="54">
        <f t="shared" ref="L360" si="180">SUM(L362:L367)</f>
        <v>19906.010000000002</v>
      </c>
      <c r="M360" s="54">
        <f>SUM(M362:M367)</f>
        <v>12245.3</v>
      </c>
      <c r="N360" s="54">
        <f>L360/K360</f>
        <v>2.5984549734946243</v>
      </c>
      <c r="O360" s="54">
        <f t="shared" ref="O360:T360" si="181">SUM(O362:O367)</f>
        <v>0</v>
      </c>
      <c r="P360" s="54">
        <f t="shared" si="181"/>
        <v>19906.010000000002</v>
      </c>
      <c r="Q360" s="54">
        <f t="shared" si="181"/>
        <v>1868.48</v>
      </c>
      <c r="R360" s="54">
        <f t="shared" si="181"/>
        <v>0</v>
      </c>
      <c r="S360" s="54">
        <f t="shared" si="181"/>
        <v>21774.489999999998</v>
      </c>
      <c r="T360" s="54">
        <f t="shared" si="181"/>
        <v>-30</v>
      </c>
      <c r="U360" s="54">
        <f>SUM(U362:U367)</f>
        <v>0</v>
      </c>
      <c r="V360" s="54">
        <f>SUM(V362:V367)</f>
        <v>581.34</v>
      </c>
      <c r="W360" s="54">
        <f>SUM(W362:W367)</f>
        <v>22325.83</v>
      </c>
      <c r="X360" s="54">
        <f>SUM(X362:X367)</f>
        <v>-104.53</v>
      </c>
      <c r="Y360" s="55">
        <f>SUM(Y362:Y367)</f>
        <v>-60.5</v>
      </c>
      <c r="Z360" s="54">
        <f t="shared" si="122"/>
        <v>22160.800000000003</v>
      </c>
      <c r="AA360" s="54">
        <f>SUM(AA362:AA367)</f>
        <v>0</v>
      </c>
      <c r="AB360" s="54">
        <f>SUM(AB362:AB367)</f>
        <v>-19665.09</v>
      </c>
      <c r="AC360" s="54">
        <f>SUM(AC362:AC367)</f>
        <v>0</v>
      </c>
      <c r="AD360" s="133">
        <f t="shared" si="155"/>
        <v>2495.7100000000028</v>
      </c>
    </row>
    <row r="361" spans="1:30" ht="13.5" customHeight="1" x14ac:dyDescent="0.25">
      <c r="A361" s="72" t="s">
        <v>54</v>
      </c>
      <c r="B361" s="64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9"/>
      <c r="Z361" s="140"/>
      <c r="AA361" s="140"/>
      <c r="AB361" s="140"/>
      <c r="AC361" s="140"/>
      <c r="AD361" s="127"/>
    </row>
    <row r="362" spans="1:30" ht="24" customHeight="1" x14ac:dyDescent="0.25">
      <c r="A362" s="20" t="s">
        <v>375</v>
      </c>
      <c r="B362" s="58"/>
      <c r="C362" s="22">
        <v>0</v>
      </c>
      <c r="D362" s="22">
        <v>0</v>
      </c>
      <c r="E362" s="40">
        <f>SUM(C362:D362)</f>
        <v>0</v>
      </c>
      <c r="F362" s="40">
        <v>0</v>
      </c>
      <c r="G362" s="40">
        <v>0</v>
      </c>
      <c r="H362" s="40">
        <f>SUM(E362:G362)</f>
        <v>0</v>
      </c>
      <c r="I362" s="40">
        <v>0</v>
      </c>
      <c r="J362" s="40">
        <v>0</v>
      </c>
      <c r="K362" s="22">
        <f t="shared" si="146"/>
        <v>0</v>
      </c>
      <c r="L362" s="22">
        <v>0</v>
      </c>
      <c r="M362" s="22">
        <f>L362-K362</f>
        <v>0</v>
      </c>
      <c r="N362" s="40" t="s">
        <v>46</v>
      </c>
      <c r="O362" s="40">
        <v>0</v>
      </c>
      <c r="P362" s="40">
        <f>L362+O362</f>
        <v>0</v>
      </c>
      <c r="Q362" s="40">
        <v>295.47000000000003</v>
      </c>
      <c r="R362" s="40">
        <v>0</v>
      </c>
      <c r="S362" s="40">
        <f>SUM(P362:R362)</f>
        <v>295.47000000000003</v>
      </c>
      <c r="T362" s="40">
        <v>0</v>
      </c>
      <c r="U362" s="40">
        <v>0</v>
      </c>
      <c r="V362" s="40">
        <v>0</v>
      </c>
      <c r="W362" s="22">
        <f t="shared" si="171"/>
        <v>295.47000000000003</v>
      </c>
      <c r="X362" s="22">
        <v>0</v>
      </c>
      <c r="Y362" s="23">
        <v>0</v>
      </c>
      <c r="Z362" s="140">
        <f t="shared" ref="Z362:Z417" si="182">SUM(W362:Y362)</f>
        <v>295.47000000000003</v>
      </c>
      <c r="AA362" s="140">
        <v>0</v>
      </c>
      <c r="AB362" s="140">
        <v>0</v>
      </c>
      <c r="AC362" s="140">
        <v>0</v>
      </c>
      <c r="AD362" s="127">
        <f t="shared" si="155"/>
        <v>295.47000000000003</v>
      </c>
    </row>
    <row r="363" spans="1:30" ht="15" customHeight="1" x14ac:dyDescent="0.25">
      <c r="A363" s="69" t="s">
        <v>342</v>
      </c>
      <c r="B363" s="58"/>
      <c r="C363" s="22">
        <v>500</v>
      </c>
      <c r="D363" s="22">
        <v>0</v>
      </c>
      <c r="E363" s="40">
        <f t="shared" ref="E363:E367" si="183">SUM(C363:D363)</f>
        <v>500</v>
      </c>
      <c r="F363" s="40">
        <v>2550</v>
      </c>
      <c r="G363" s="40">
        <f>-110</f>
        <v>-110</v>
      </c>
      <c r="H363" s="40">
        <f t="shared" ref="H363:H367" si="184">SUM(E363:G363)</f>
        <v>2940</v>
      </c>
      <c r="I363" s="40">
        <v>1306</v>
      </c>
      <c r="J363" s="40">
        <v>0</v>
      </c>
      <c r="K363" s="22">
        <f t="shared" si="146"/>
        <v>4246</v>
      </c>
      <c r="L363" s="22">
        <v>3765.6</v>
      </c>
      <c r="M363" s="22">
        <f t="shared" ref="M363:M367" si="185">L363-K363</f>
        <v>-480.40000000000009</v>
      </c>
      <c r="N363" s="40">
        <f>L363/K363</f>
        <v>0.88685821950070653</v>
      </c>
      <c r="O363" s="40">
        <f>0+0</f>
        <v>0</v>
      </c>
      <c r="P363" s="40">
        <f t="shared" ref="P363:P367" si="186">L363+O363</f>
        <v>3765.6</v>
      </c>
      <c r="Q363" s="40">
        <v>1273.01</v>
      </c>
      <c r="R363" s="40">
        <v>0</v>
      </c>
      <c r="S363" s="40">
        <f t="shared" ref="S363:S367" si="187">SUM(P363:R363)</f>
        <v>5038.6099999999997</v>
      </c>
      <c r="T363" s="40">
        <v>0</v>
      </c>
      <c r="U363" s="40">
        <v>0</v>
      </c>
      <c r="V363" s="40">
        <f>161.54+419.8</f>
        <v>581.34</v>
      </c>
      <c r="W363" s="22">
        <f t="shared" si="171"/>
        <v>5619.95</v>
      </c>
      <c r="X363" s="22">
        <v>0</v>
      </c>
      <c r="Y363" s="23">
        <f>-60.5</f>
        <v>-60.5</v>
      </c>
      <c r="Z363" s="140">
        <f t="shared" si="182"/>
        <v>5559.45</v>
      </c>
      <c r="AA363" s="140">
        <v>0</v>
      </c>
      <c r="AB363" s="140">
        <f>-4416.48</f>
        <v>-4416.4799999999996</v>
      </c>
      <c r="AC363" s="140">
        <v>0</v>
      </c>
      <c r="AD363" s="127">
        <f t="shared" si="155"/>
        <v>1142.9700000000003</v>
      </c>
    </row>
    <row r="364" spans="1:30" ht="40.5" customHeight="1" x14ac:dyDescent="0.25">
      <c r="A364" s="20" t="s">
        <v>376</v>
      </c>
      <c r="B364" s="58" t="s">
        <v>236</v>
      </c>
      <c r="C364" s="22">
        <v>1914.71</v>
      </c>
      <c r="D364" s="22">
        <v>0</v>
      </c>
      <c r="E364" s="40">
        <f t="shared" si="183"/>
        <v>1914.71</v>
      </c>
      <c r="F364" s="40">
        <v>0</v>
      </c>
      <c r="G364" s="40">
        <v>0</v>
      </c>
      <c r="H364" s="40">
        <f t="shared" si="184"/>
        <v>1914.71</v>
      </c>
      <c r="I364" s="40">
        <v>0</v>
      </c>
      <c r="J364" s="40">
        <v>0</v>
      </c>
      <c r="K364" s="22">
        <f t="shared" si="146"/>
        <v>1914.71</v>
      </c>
      <c r="L364" s="22">
        <v>1140.4100000000001</v>
      </c>
      <c r="M364" s="22">
        <f t="shared" si="185"/>
        <v>-774.3</v>
      </c>
      <c r="N364" s="40">
        <f t="shared" ref="N364:N365" si="188">L364/K364</f>
        <v>0.59560455630356557</v>
      </c>
      <c r="O364" s="40">
        <v>0</v>
      </c>
      <c r="P364" s="40">
        <f t="shared" si="186"/>
        <v>1140.4100000000001</v>
      </c>
      <c r="Q364" s="40">
        <v>0</v>
      </c>
      <c r="R364" s="40">
        <v>0</v>
      </c>
      <c r="S364" s="40">
        <f t="shared" si="187"/>
        <v>1140.4100000000001</v>
      </c>
      <c r="T364" s="40">
        <v>-30</v>
      </c>
      <c r="U364" s="40">
        <v>0</v>
      </c>
      <c r="V364" s="40">
        <v>0</v>
      </c>
      <c r="W364" s="22">
        <f t="shared" si="171"/>
        <v>1110.4100000000001</v>
      </c>
      <c r="X364" s="22">
        <f>-104.53</f>
        <v>-104.53</v>
      </c>
      <c r="Y364" s="23">
        <v>0</v>
      </c>
      <c r="Z364" s="140">
        <f t="shared" si="182"/>
        <v>1005.8800000000001</v>
      </c>
      <c r="AA364" s="140">
        <v>0</v>
      </c>
      <c r="AB364" s="140">
        <f>-655.88</f>
        <v>-655.88</v>
      </c>
      <c r="AC364" s="140">
        <v>0</v>
      </c>
      <c r="AD364" s="127">
        <f t="shared" si="155"/>
        <v>350.00000000000011</v>
      </c>
    </row>
    <row r="365" spans="1:30" ht="34.5" customHeight="1" x14ac:dyDescent="0.25">
      <c r="A365" s="20" t="s">
        <v>377</v>
      </c>
      <c r="B365" s="58" t="s">
        <v>378</v>
      </c>
      <c r="C365" s="22">
        <v>1500</v>
      </c>
      <c r="D365" s="22">
        <v>0</v>
      </c>
      <c r="E365" s="40">
        <f t="shared" si="183"/>
        <v>1500</v>
      </c>
      <c r="F365" s="40">
        <v>0</v>
      </c>
      <c r="G365" s="40">
        <v>0</v>
      </c>
      <c r="H365" s="40">
        <f t="shared" si="184"/>
        <v>1500</v>
      </c>
      <c r="I365" s="40">
        <v>0</v>
      </c>
      <c r="J365" s="40">
        <v>0</v>
      </c>
      <c r="K365" s="22">
        <f t="shared" si="146"/>
        <v>1500</v>
      </c>
      <c r="L365" s="22">
        <v>15000</v>
      </c>
      <c r="M365" s="22">
        <f t="shared" si="185"/>
        <v>13500</v>
      </c>
      <c r="N365" s="40">
        <f t="shared" si="188"/>
        <v>10</v>
      </c>
      <c r="O365" s="40">
        <v>0</v>
      </c>
      <c r="P365" s="40">
        <f t="shared" si="186"/>
        <v>15000</v>
      </c>
      <c r="Q365" s="40">
        <v>0</v>
      </c>
      <c r="R365" s="40">
        <v>0</v>
      </c>
      <c r="S365" s="40">
        <f t="shared" si="187"/>
        <v>15000</v>
      </c>
      <c r="T365" s="40">
        <v>0</v>
      </c>
      <c r="U365" s="40">
        <v>0</v>
      </c>
      <c r="V365" s="40">
        <v>0</v>
      </c>
      <c r="W365" s="22">
        <f t="shared" si="171"/>
        <v>15000</v>
      </c>
      <c r="X365" s="22">
        <v>0</v>
      </c>
      <c r="Y365" s="23">
        <v>0</v>
      </c>
      <c r="Z365" s="140">
        <f t="shared" si="182"/>
        <v>15000</v>
      </c>
      <c r="AA365" s="140">
        <v>0</v>
      </c>
      <c r="AB365" s="140">
        <f>-14592.73</f>
        <v>-14592.73</v>
      </c>
      <c r="AC365" s="140">
        <v>0</v>
      </c>
      <c r="AD365" s="127">
        <f t="shared" si="155"/>
        <v>407.27000000000044</v>
      </c>
    </row>
    <row r="366" spans="1:30" ht="27.75" customHeight="1" x14ac:dyDescent="0.25">
      <c r="A366" s="20" t="s">
        <v>379</v>
      </c>
      <c r="B366" s="58" t="s">
        <v>380</v>
      </c>
      <c r="C366" s="22"/>
      <c r="D366" s="22"/>
      <c r="E366" s="40"/>
      <c r="F366" s="40"/>
      <c r="G366" s="40"/>
      <c r="H366" s="40"/>
      <c r="I366" s="40"/>
      <c r="J366" s="40"/>
      <c r="K366" s="22"/>
      <c r="L366" s="22">
        <v>0</v>
      </c>
      <c r="M366" s="22"/>
      <c r="N366" s="40"/>
      <c r="O366" s="40"/>
      <c r="P366" s="40">
        <v>0</v>
      </c>
      <c r="Q366" s="40">
        <v>300</v>
      </c>
      <c r="R366" s="40">
        <v>0</v>
      </c>
      <c r="S366" s="40">
        <f t="shared" si="187"/>
        <v>300</v>
      </c>
      <c r="T366" s="40">
        <v>0</v>
      </c>
      <c r="U366" s="40">
        <v>0</v>
      </c>
      <c r="V366" s="40">
        <v>0</v>
      </c>
      <c r="W366" s="22">
        <f t="shared" si="171"/>
        <v>300</v>
      </c>
      <c r="X366" s="22">
        <v>0</v>
      </c>
      <c r="Y366" s="23">
        <v>0</v>
      </c>
      <c r="Z366" s="140">
        <f t="shared" si="182"/>
        <v>300</v>
      </c>
      <c r="AA366" s="140">
        <v>0</v>
      </c>
      <c r="AB366" s="140">
        <v>0</v>
      </c>
      <c r="AC366" s="140">
        <v>0</v>
      </c>
      <c r="AD366" s="127">
        <f t="shared" si="155"/>
        <v>300</v>
      </c>
    </row>
    <row r="367" spans="1:30" ht="24.75" customHeight="1" thickBot="1" x14ac:dyDescent="0.3">
      <c r="A367" s="24" t="s">
        <v>381</v>
      </c>
      <c r="B367" s="60"/>
      <c r="C367" s="26">
        <v>0</v>
      </c>
      <c r="D367" s="26">
        <v>0</v>
      </c>
      <c r="E367" s="61">
        <f t="shared" si="183"/>
        <v>0</v>
      </c>
      <c r="F367" s="61">
        <v>0</v>
      </c>
      <c r="G367" s="61">
        <v>0</v>
      </c>
      <c r="H367" s="61">
        <f t="shared" si="184"/>
        <v>0</v>
      </c>
      <c r="I367" s="61">
        <v>0</v>
      </c>
      <c r="J367" s="61">
        <v>0</v>
      </c>
      <c r="K367" s="26">
        <f t="shared" si="146"/>
        <v>0</v>
      </c>
      <c r="L367" s="26">
        <v>0</v>
      </c>
      <c r="M367" s="26">
        <f t="shared" si="185"/>
        <v>0</v>
      </c>
      <c r="N367" s="61" t="s">
        <v>46</v>
      </c>
      <c r="O367" s="61">
        <v>0</v>
      </c>
      <c r="P367" s="61">
        <f t="shared" si="186"/>
        <v>0</v>
      </c>
      <c r="Q367" s="61">
        <v>0</v>
      </c>
      <c r="R367" s="61">
        <v>0</v>
      </c>
      <c r="S367" s="61">
        <f t="shared" si="187"/>
        <v>0</v>
      </c>
      <c r="T367" s="61">
        <v>0</v>
      </c>
      <c r="U367" s="61">
        <v>0</v>
      </c>
      <c r="V367" s="61">
        <v>0</v>
      </c>
      <c r="W367" s="26">
        <f t="shared" si="171"/>
        <v>0</v>
      </c>
      <c r="X367" s="26">
        <v>0</v>
      </c>
      <c r="Y367" s="27">
        <v>0</v>
      </c>
      <c r="Z367" s="141">
        <f t="shared" si="182"/>
        <v>0</v>
      </c>
      <c r="AA367" s="141">
        <v>0</v>
      </c>
      <c r="AB367" s="141">
        <v>0</v>
      </c>
      <c r="AC367" s="141">
        <v>0</v>
      </c>
      <c r="AD367" s="128">
        <f t="shared" si="155"/>
        <v>0</v>
      </c>
    </row>
    <row r="368" spans="1:30" ht="16.350000000000001" customHeight="1" thickBot="1" x14ac:dyDescent="0.3">
      <c r="A368" s="71" t="s">
        <v>244</v>
      </c>
      <c r="B368" s="65"/>
      <c r="C368" s="54">
        <f>SUM(C370:C373)</f>
        <v>1000</v>
      </c>
      <c r="D368" s="54">
        <f>SUM(D370:D373)</f>
        <v>0</v>
      </c>
      <c r="E368" s="54">
        <f>SUM(C368:D368)</f>
        <v>1000</v>
      </c>
      <c r="F368" s="54">
        <f>SUM(F370:F373)</f>
        <v>0</v>
      </c>
      <c r="G368" s="54">
        <f>SUM(G370:G373)</f>
        <v>0</v>
      </c>
      <c r="H368" s="54">
        <f>SUM(H370:H373)</f>
        <v>1000</v>
      </c>
      <c r="I368" s="54">
        <f>SUM(I370:I373)</f>
        <v>0</v>
      </c>
      <c r="J368" s="54">
        <f>SUM(J370:J373)</f>
        <v>0</v>
      </c>
      <c r="K368" s="54">
        <f t="shared" si="146"/>
        <v>1000</v>
      </c>
      <c r="L368" s="54">
        <f t="shared" ref="L368" si="189">SUM(L370:L373)</f>
        <v>1000</v>
      </c>
      <c r="M368" s="54">
        <f>SUM(M370:M373)</f>
        <v>0</v>
      </c>
      <c r="N368" s="54">
        <f>L368/K368</f>
        <v>1</v>
      </c>
      <c r="O368" s="54">
        <f t="shared" ref="O368:T368" si="190">SUM(O370:O373)</f>
        <v>0</v>
      </c>
      <c r="P368" s="54">
        <f t="shared" si="190"/>
        <v>1000</v>
      </c>
      <c r="Q368" s="54">
        <f t="shared" si="190"/>
        <v>0</v>
      </c>
      <c r="R368" s="54">
        <f t="shared" si="190"/>
        <v>0</v>
      </c>
      <c r="S368" s="54">
        <f t="shared" si="190"/>
        <v>1000</v>
      </c>
      <c r="T368" s="54">
        <f t="shared" si="190"/>
        <v>0</v>
      </c>
      <c r="U368" s="54">
        <f>SUM(U370:U373)</f>
        <v>0</v>
      </c>
      <c r="V368" s="54">
        <f>SUM(V370:V373)</f>
        <v>0</v>
      </c>
      <c r="W368" s="54">
        <f>SUM(W370:W373)</f>
        <v>1000</v>
      </c>
      <c r="X368" s="54">
        <f>SUM(X370:X373)</f>
        <v>0</v>
      </c>
      <c r="Y368" s="55">
        <f>SUM(Y370:Y373)</f>
        <v>0</v>
      </c>
      <c r="Z368" s="54">
        <f t="shared" si="182"/>
        <v>1000</v>
      </c>
      <c r="AA368" s="54">
        <f>SUM(AA370:AA373)</f>
        <v>0</v>
      </c>
      <c r="AB368" s="54">
        <f>SUM(AB370:AB373)</f>
        <v>300</v>
      </c>
      <c r="AC368" s="54">
        <f>SUM(AC370:AC373)</f>
        <v>0</v>
      </c>
      <c r="AD368" s="133">
        <f t="shared" si="155"/>
        <v>1300</v>
      </c>
    </row>
    <row r="369" spans="1:30" ht="15" customHeight="1" x14ac:dyDescent="0.25">
      <c r="A369" s="72" t="s">
        <v>54</v>
      </c>
      <c r="B369" s="64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9"/>
      <c r="Z369" s="140"/>
      <c r="AA369" s="140"/>
      <c r="AB369" s="140"/>
      <c r="AC369" s="140"/>
      <c r="AD369" s="127"/>
    </row>
    <row r="370" spans="1:30" ht="25.5" customHeight="1" x14ac:dyDescent="0.25">
      <c r="A370" s="20" t="s">
        <v>382</v>
      </c>
      <c r="B370" s="58"/>
      <c r="C370" s="22">
        <v>0</v>
      </c>
      <c r="D370" s="22">
        <v>0</v>
      </c>
      <c r="E370" s="40">
        <f>SUM(C370:D370)</f>
        <v>0</v>
      </c>
      <c r="F370" s="40">
        <v>0</v>
      </c>
      <c r="G370" s="40">
        <v>0</v>
      </c>
      <c r="H370" s="40">
        <f>SUM(E370:G370)</f>
        <v>0</v>
      </c>
      <c r="I370" s="40">
        <v>0</v>
      </c>
      <c r="J370" s="40">
        <v>0</v>
      </c>
      <c r="K370" s="22">
        <f t="shared" si="146"/>
        <v>0</v>
      </c>
      <c r="L370" s="22">
        <v>0</v>
      </c>
      <c r="M370" s="22">
        <f>L370-K370</f>
        <v>0</v>
      </c>
      <c r="N370" s="40" t="s">
        <v>46</v>
      </c>
      <c r="O370" s="40">
        <v>0</v>
      </c>
      <c r="P370" s="40">
        <f>L370+O370</f>
        <v>0</v>
      </c>
      <c r="Q370" s="40">
        <v>0</v>
      </c>
      <c r="R370" s="40">
        <v>0</v>
      </c>
      <c r="S370" s="40">
        <f>SUM(P370:R370)</f>
        <v>0</v>
      </c>
      <c r="T370" s="40">
        <v>0</v>
      </c>
      <c r="U370" s="40">
        <v>0</v>
      </c>
      <c r="V370" s="40">
        <v>0</v>
      </c>
      <c r="W370" s="22">
        <f t="shared" si="171"/>
        <v>0</v>
      </c>
      <c r="X370" s="22">
        <v>0</v>
      </c>
      <c r="Y370" s="23">
        <v>0</v>
      </c>
      <c r="Z370" s="140">
        <f t="shared" si="182"/>
        <v>0</v>
      </c>
      <c r="AA370" s="140">
        <v>0</v>
      </c>
      <c r="AB370" s="140">
        <v>0</v>
      </c>
      <c r="AC370" s="140">
        <v>0</v>
      </c>
      <c r="AD370" s="127">
        <f t="shared" si="155"/>
        <v>0</v>
      </c>
    </row>
    <row r="371" spans="1:30" ht="23.25" customHeight="1" x14ac:dyDescent="0.25">
      <c r="A371" s="20" t="s">
        <v>383</v>
      </c>
      <c r="B371" s="68" t="s">
        <v>94</v>
      </c>
      <c r="C371" s="22">
        <v>1000</v>
      </c>
      <c r="D371" s="22">
        <v>0</v>
      </c>
      <c r="E371" s="40">
        <f t="shared" ref="E371:E373" si="191">SUM(C371:D371)</f>
        <v>1000</v>
      </c>
      <c r="F371" s="40">
        <v>0</v>
      </c>
      <c r="G371" s="40">
        <v>0</v>
      </c>
      <c r="H371" s="40">
        <f t="shared" ref="H371:H373" si="192">SUM(E371:G371)</f>
        <v>1000</v>
      </c>
      <c r="I371" s="40">
        <v>0</v>
      </c>
      <c r="J371" s="40">
        <v>0</v>
      </c>
      <c r="K371" s="22">
        <f t="shared" si="146"/>
        <v>1000</v>
      </c>
      <c r="L371" s="22">
        <v>1000</v>
      </c>
      <c r="M371" s="22">
        <f t="shared" ref="M371:M373" si="193">L371-K371</f>
        <v>0</v>
      </c>
      <c r="N371" s="40">
        <f t="shared" ref="N371" si="194">L371/K371</f>
        <v>1</v>
      </c>
      <c r="O371" s="40">
        <v>0</v>
      </c>
      <c r="P371" s="40">
        <f t="shared" ref="P371:P373" si="195">L371+O371</f>
        <v>1000</v>
      </c>
      <c r="Q371" s="40">
        <v>0</v>
      </c>
      <c r="R371" s="40">
        <v>0</v>
      </c>
      <c r="S371" s="40">
        <f t="shared" ref="S371:S373" si="196">SUM(P371:R371)</f>
        <v>1000</v>
      </c>
      <c r="T371" s="40">
        <v>0</v>
      </c>
      <c r="U371" s="40">
        <v>0</v>
      </c>
      <c r="V371" s="40">
        <v>0</v>
      </c>
      <c r="W371" s="22">
        <f t="shared" si="171"/>
        <v>1000</v>
      </c>
      <c r="X371" s="22">
        <v>0</v>
      </c>
      <c r="Y371" s="23">
        <v>0</v>
      </c>
      <c r="Z371" s="140">
        <f t="shared" si="182"/>
        <v>1000</v>
      </c>
      <c r="AA371" s="140">
        <v>0</v>
      </c>
      <c r="AB371" s="140">
        <v>0</v>
      </c>
      <c r="AC371" s="140">
        <v>0</v>
      </c>
      <c r="AD371" s="127">
        <f t="shared" si="155"/>
        <v>1000</v>
      </c>
    </row>
    <row r="372" spans="1:30" ht="35.25" customHeight="1" x14ac:dyDescent="0.25">
      <c r="A372" s="20" t="s">
        <v>425</v>
      </c>
      <c r="B372" s="68" t="s">
        <v>94</v>
      </c>
      <c r="C372" s="22"/>
      <c r="D372" s="22"/>
      <c r="E372" s="40"/>
      <c r="F372" s="40"/>
      <c r="G372" s="40"/>
      <c r="H372" s="40"/>
      <c r="I372" s="40"/>
      <c r="J372" s="40"/>
      <c r="K372" s="22"/>
      <c r="L372" s="22">
        <v>0</v>
      </c>
      <c r="M372" s="22"/>
      <c r="N372" s="40"/>
      <c r="O372" s="40"/>
      <c r="P372" s="40"/>
      <c r="Q372" s="40"/>
      <c r="R372" s="40"/>
      <c r="S372" s="40"/>
      <c r="T372" s="40"/>
      <c r="U372" s="40"/>
      <c r="V372" s="40"/>
      <c r="W372" s="22"/>
      <c r="X372" s="22"/>
      <c r="Y372" s="23"/>
      <c r="Z372" s="144">
        <v>0</v>
      </c>
      <c r="AA372" s="144">
        <v>0</v>
      </c>
      <c r="AB372" s="144">
        <f>300</f>
        <v>300</v>
      </c>
      <c r="AC372" s="144">
        <v>0</v>
      </c>
      <c r="AD372" s="127">
        <f t="shared" si="155"/>
        <v>300</v>
      </c>
    </row>
    <row r="373" spans="1:30" ht="27" customHeight="1" thickBot="1" x14ac:dyDescent="0.3">
      <c r="A373" s="32" t="s">
        <v>384</v>
      </c>
      <c r="B373" s="92"/>
      <c r="C373" s="34">
        <v>0</v>
      </c>
      <c r="D373" s="34">
        <v>0</v>
      </c>
      <c r="E373" s="93">
        <f t="shared" si="191"/>
        <v>0</v>
      </c>
      <c r="F373" s="93">
        <v>0</v>
      </c>
      <c r="G373" s="93">
        <v>0</v>
      </c>
      <c r="H373" s="93">
        <f t="shared" si="192"/>
        <v>0</v>
      </c>
      <c r="I373" s="93">
        <v>0</v>
      </c>
      <c r="J373" s="93">
        <v>0</v>
      </c>
      <c r="K373" s="34">
        <f t="shared" si="146"/>
        <v>0</v>
      </c>
      <c r="L373" s="34">
        <v>0</v>
      </c>
      <c r="M373" s="34">
        <f t="shared" si="193"/>
        <v>0</v>
      </c>
      <c r="N373" s="93" t="s">
        <v>46</v>
      </c>
      <c r="O373" s="93">
        <v>0</v>
      </c>
      <c r="P373" s="93">
        <f t="shared" si="195"/>
        <v>0</v>
      </c>
      <c r="Q373" s="93">
        <v>0</v>
      </c>
      <c r="R373" s="93">
        <v>0</v>
      </c>
      <c r="S373" s="93">
        <f t="shared" si="196"/>
        <v>0</v>
      </c>
      <c r="T373" s="93">
        <v>0</v>
      </c>
      <c r="U373" s="93">
        <v>0</v>
      </c>
      <c r="V373" s="93">
        <v>0</v>
      </c>
      <c r="W373" s="34">
        <f t="shared" si="171"/>
        <v>0</v>
      </c>
      <c r="X373" s="34">
        <v>0</v>
      </c>
      <c r="Y373" s="35">
        <v>0</v>
      </c>
      <c r="Z373" s="141">
        <f t="shared" si="182"/>
        <v>0</v>
      </c>
      <c r="AA373" s="141">
        <v>0</v>
      </c>
      <c r="AB373" s="141">
        <v>0</v>
      </c>
      <c r="AC373" s="141">
        <v>0</v>
      </c>
      <c r="AD373" s="128">
        <f t="shared" si="155"/>
        <v>0</v>
      </c>
    </row>
    <row r="374" spans="1:30" ht="16.350000000000001" customHeight="1" thickBot="1" x14ac:dyDescent="0.3">
      <c r="A374" s="71" t="s">
        <v>296</v>
      </c>
      <c r="B374" s="65"/>
      <c r="C374" s="54">
        <f>SUM(C376:C380)</f>
        <v>307960</v>
      </c>
      <c r="D374" s="54">
        <f>SUM(D376:D380)</f>
        <v>10649</v>
      </c>
      <c r="E374" s="54">
        <f>SUM(C374:D374)</f>
        <v>318609</v>
      </c>
      <c r="F374" s="54">
        <f>SUM(F376:F380)</f>
        <v>114656</v>
      </c>
      <c r="G374" s="54">
        <f>SUM(G376:G380)</f>
        <v>-3758</v>
      </c>
      <c r="H374" s="54">
        <f>SUM(H376:H380)</f>
        <v>429123</v>
      </c>
      <c r="I374" s="54">
        <f>SUM(I376:I380)</f>
        <v>-26953</v>
      </c>
      <c r="J374" s="54">
        <f>SUM(J376:J380)</f>
        <v>27831</v>
      </c>
      <c r="K374" s="54">
        <f t="shared" si="146"/>
        <v>430001</v>
      </c>
      <c r="L374" s="54">
        <f t="shared" ref="L374" si="197">SUM(L376:L380)</f>
        <v>209117</v>
      </c>
      <c r="M374" s="54">
        <f>SUM(M376:M380)</f>
        <v>-220884</v>
      </c>
      <c r="N374" s="105">
        <f>L374/K374</f>
        <v>0.48631747368029377</v>
      </c>
      <c r="O374" s="105">
        <f t="shared" ref="O374:T374" si="198">SUM(O376:O380)</f>
        <v>-300</v>
      </c>
      <c r="P374" s="105">
        <f t="shared" si="198"/>
        <v>205799</v>
      </c>
      <c r="Q374" s="105">
        <f t="shared" si="198"/>
        <v>89164</v>
      </c>
      <c r="R374" s="105">
        <f t="shared" si="198"/>
        <v>6747</v>
      </c>
      <c r="S374" s="105">
        <f t="shared" si="198"/>
        <v>301710</v>
      </c>
      <c r="T374" s="105">
        <f t="shared" si="198"/>
        <v>7450</v>
      </c>
      <c r="U374" s="105">
        <f>SUM(U376:U380)</f>
        <v>0</v>
      </c>
      <c r="V374" s="105">
        <f>SUM(V376:V380)</f>
        <v>-5597</v>
      </c>
      <c r="W374" s="54">
        <f>SUM(W376:W380)</f>
        <v>301837</v>
      </c>
      <c r="X374" s="54">
        <f>SUM(X376:X380)</f>
        <v>-936</v>
      </c>
      <c r="Y374" s="55">
        <f>SUM(Y376:Y379)</f>
        <v>-702</v>
      </c>
      <c r="Z374" s="54">
        <f t="shared" si="182"/>
        <v>300199</v>
      </c>
      <c r="AA374" s="54">
        <f>SUM(AA376:AA380)</f>
        <v>2151</v>
      </c>
      <c r="AB374" s="54">
        <f>SUM(AB376:AB380)</f>
        <v>-146308</v>
      </c>
      <c r="AC374" s="54">
        <f>SUM(AC376:AC380)</f>
        <v>0</v>
      </c>
      <c r="AD374" s="133">
        <f t="shared" si="155"/>
        <v>156042</v>
      </c>
    </row>
    <row r="375" spans="1:30" ht="15" customHeight="1" x14ac:dyDescent="0.25">
      <c r="A375" s="72" t="s">
        <v>54</v>
      </c>
      <c r="B375" s="64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88"/>
      <c r="O375" s="88"/>
      <c r="P375" s="88"/>
      <c r="Q375" s="88"/>
      <c r="R375" s="88"/>
      <c r="S375" s="88"/>
      <c r="T375" s="88"/>
      <c r="U375" s="88"/>
      <c r="V375" s="88"/>
      <c r="W375" s="18"/>
      <c r="X375" s="18"/>
      <c r="Y375" s="19"/>
      <c r="Z375" s="140"/>
      <c r="AA375" s="140"/>
      <c r="AB375" s="140"/>
      <c r="AC375" s="140"/>
      <c r="AD375" s="127"/>
    </row>
    <row r="376" spans="1:30" ht="15" customHeight="1" x14ac:dyDescent="0.25">
      <c r="A376" s="69" t="s">
        <v>385</v>
      </c>
      <c r="B376" s="58"/>
      <c r="C376" s="22">
        <v>21003</v>
      </c>
      <c r="D376" s="22">
        <f>6510</f>
        <v>6510</v>
      </c>
      <c r="E376" s="22">
        <f>SUM(C376:D376)</f>
        <v>27513</v>
      </c>
      <c r="F376" s="22">
        <v>0</v>
      </c>
      <c r="G376" s="22">
        <v>0</v>
      </c>
      <c r="H376" s="22">
        <f>SUM(E376:G376)</f>
        <v>27513</v>
      </c>
      <c r="I376" s="22">
        <v>0</v>
      </c>
      <c r="J376" s="22">
        <v>0</v>
      </c>
      <c r="K376" s="22">
        <f t="shared" si="146"/>
        <v>27513</v>
      </c>
      <c r="L376" s="22">
        <v>29888</v>
      </c>
      <c r="M376" s="22">
        <f>L376-K376</f>
        <v>2375</v>
      </c>
      <c r="N376" s="40">
        <f>L376/K376</f>
        <v>1.0863228292080107</v>
      </c>
      <c r="O376" s="40">
        <v>0</v>
      </c>
      <c r="P376" s="40">
        <f>L376+O376</f>
        <v>29888</v>
      </c>
      <c r="Q376" s="40">
        <v>0</v>
      </c>
      <c r="R376" s="40">
        <v>0</v>
      </c>
      <c r="S376" s="40">
        <f>SUM(P376:R376)</f>
        <v>29888</v>
      </c>
      <c r="T376" s="40">
        <v>0</v>
      </c>
      <c r="U376" s="40">
        <v>0</v>
      </c>
      <c r="V376" s="40">
        <v>0</v>
      </c>
      <c r="W376" s="22">
        <f t="shared" si="171"/>
        <v>29888</v>
      </c>
      <c r="X376" s="22">
        <v>0</v>
      </c>
      <c r="Y376" s="23">
        <v>0</v>
      </c>
      <c r="Z376" s="140">
        <f t="shared" si="182"/>
        <v>29888</v>
      </c>
      <c r="AA376" s="140">
        <v>0</v>
      </c>
      <c r="AB376" s="140">
        <f>-2951</f>
        <v>-2951</v>
      </c>
      <c r="AC376" s="140">
        <v>0</v>
      </c>
      <c r="AD376" s="127">
        <f>SUM(Z376:AC376)</f>
        <v>26937</v>
      </c>
    </row>
    <row r="377" spans="1:30" ht="15" customHeight="1" x14ac:dyDescent="0.25">
      <c r="A377" s="69" t="s">
        <v>342</v>
      </c>
      <c r="B377" s="58"/>
      <c r="C377" s="22">
        <v>285957</v>
      </c>
      <c r="D377" s="22">
        <f>6757-2325-293</f>
        <v>4139</v>
      </c>
      <c r="E377" s="22">
        <f>SUM(C377:D377)-254</f>
        <v>289842</v>
      </c>
      <c r="F377" s="22">
        <v>114656</v>
      </c>
      <c r="G377" s="22">
        <f>407-665-3500</f>
        <v>-3758</v>
      </c>
      <c r="H377" s="22">
        <f>SUM(E377:G377)-130</f>
        <v>400610</v>
      </c>
      <c r="I377" s="22">
        <v>-26953</v>
      </c>
      <c r="J377" s="22">
        <f>1423+20794+1000+5614</f>
        <v>28831</v>
      </c>
      <c r="K377" s="22">
        <f t="shared" si="146"/>
        <v>402488</v>
      </c>
      <c r="L377" s="22">
        <v>148757</v>
      </c>
      <c r="M377" s="22">
        <f t="shared" ref="M377:M380" si="199">L377-K377</f>
        <v>-253731</v>
      </c>
      <c r="N377" s="40">
        <f t="shared" ref="N377" si="200">L377/K377</f>
        <v>0.36959362763610343</v>
      </c>
      <c r="O377" s="40">
        <f>0-300</f>
        <v>-300</v>
      </c>
      <c r="P377" s="40">
        <f>L377+O377-618</f>
        <v>147839</v>
      </c>
      <c r="Q377" s="40">
        <v>89164</v>
      </c>
      <c r="R377" s="40">
        <f>1000+7000+900-253</f>
        <v>8647</v>
      </c>
      <c r="S377" s="40">
        <f t="shared" ref="S377:S380" si="201">SUM(P377:R377)</f>
        <v>245650</v>
      </c>
      <c r="T377" s="40">
        <v>6650</v>
      </c>
      <c r="U377" s="40">
        <v>0</v>
      </c>
      <c r="V377" s="40">
        <f>-3302-2295</f>
        <v>-5597</v>
      </c>
      <c r="W377" s="22">
        <f>SUM(S377:V377)-1720+594</f>
        <v>245577</v>
      </c>
      <c r="X377" s="22">
        <f>-936</f>
        <v>-936</v>
      </c>
      <c r="Y377" s="23">
        <f>-510-192</f>
        <v>-702</v>
      </c>
      <c r="Z377" s="140">
        <f t="shared" si="182"/>
        <v>243939</v>
      </c>
      <c r="AA377" s="140">
        <f>-478+3561</f>
        <v>3083</v>
      </c>
      <c r="AB377" s="140">
        <f>-121146+2951</f>
        <v>-118195</v>
      </c>
      <c r="AC377" s="140">
        <v>0</v>
      </c>
      <c r="AD377" s="127">
        <f t="shared" si="155"/>
        <v>128827</v>
      </c>
    </row>
    <row r="378" spans="1:30" ht="22.5" customHeight="1" x14ac:dyDescent="0.25">
      <c r="A378" s="20" t="s">
        <v>386</v>
      </c>
      <c r="B378" s="58"/>
      <c r="C378" s="22">
        <v>1000</v>
      </c>
      <c r="D378" s="22">
        <v>0</v>
      </c>
      <c r="E378" s="22">
        <f t="shared" ref="E378:E380" si="202">SUM(C378:D378)</f>
        <v>1000</v>
      </c>
      <c r="F378" s="22">
        <v>0</v>
      </c>
      <c r="G378" s="22">
        <v>0</v>
      </c>
      <c r="H378" s="22">
        <f t="shared" ref="H378:H380" si="203">SUM(E378:G378)</f>
        <v>1000</v>
      </c>
      <c r="I378" s="22">
        <v>0</v>
      </c>
      <c r="J378" s="22">
        <f>-1000</f>
        <v>-1000</v>
      </c>
      <c r="K378" s="22">
        <f t="shared" si="146"/>
        <v>0</v>
      </c>
      <c r="L378" s="22">
        <v>1000</v>
      </c>
      <c r="M378" s="22">
        <f t="shared" si="199"/>
        <v>1000</v>
      </c>
      <c r="N378" s="40" t="s">
        <v>46</v>
      </c>
      <c r="O378" s="40">
        <v>0</v>
      </c>
      <c r="P378" s="40">
        <f t="shared" ref="P378:P380" si="204">L378+O378</f>
        <v>1000</v>
      </c>
      <c r="Q378" s="40">
        <v>0</v>
      </c>
      <c r="R378" s="40">
        <f>-1000</f>
        <v>-1000</v>
      </c>
      <c r="S378" s="40">
        <f t="shared" si="201"/>
        <v>0</v>
      </c>
      <c r="T378" s="40">
        <v>0</v>
      </c>
      <c r="U378" s="40">
        <v>0</v>
      </c>
      <c r="V378" s="40">
        <v>0</v>
      </c>
      <c r="W378" s="22">
        <f t="shared" si="171"/>
        <v>0</v>
      </c>
      <c r="X378" s="22">
        <v>0</v>
      </c>
      <c r="Y378" s="23">
        <v>0</v>
      </c>
      <c r="Z378" s="140">
        <f t="shared" si="182"/>
        <v>0</v>
      </c>
      <c r="AA378" s="140">
        <v>0</v>
      </c>
      <c r="AB378" s="140">
        <v>0</v>
      </c>
      <c r="AC378" s="140">
        <v>0</v>
      </c>
      <c r="AD378" s="127">
        <f t="shared" si="155"/>
        <v>0</v>
      </c>
    </row>
    <row r="379" spans="1:30" ht="15" customHeight="1" x14ac:dyDescent="0.25">
      <c r="A379" s="69" t="s">
        <v>387</v>
      </c>
      <c r="B379" s="58"/>
      <c r="C379" s="22">
        <v>0</v>
      </c>
      <c r="D379" s="22">
        <v>0</v>
      </c>
      <c r="E379" s="22">
        <f t="shared" si="202"/>
        <v>0</v>
      </c>
      <c r="F379" s="22">
        <v>0</v>
      </c>
      <c r="G379" s="22">
        <v>0</v>
      </c>
      <c r="H379" s="22">
        <f t="shared" si="203"/>
        <v>0</v>
      </c>
      <c r="I379" s="22">
        <v>0</v>
      </c>
      <c r="J379" s="22">
        <v>0</v>
      </c>
      <c r="K379" s="22">
        <f t="shared" si="146"/>
        <v>0</v>
      </c>
      <c r="L379" s="22">
        <v>29472</v>
      </c>
      <c r="M379" s="22">
        <f t="shared" si="199"/>
        <v>29472</v>
      </c>
      <c r="N379" s="40" t="s">
        <v>46</v>
      </c>
      <c r="O379" s="40">
        <v>0</v>
      </c>
      <c r="P379" s="40">
        <f>L379+O379-2400</f>
        <v>27072</v>
      </c>
      <c r="Q379" s="40">
        <v>0</v>
      </c>
      <c r="R379" s="40">
        <f>-900</f>
        <v>-900</v>
      </c>
      <c r="S379" s="40">
        <f t="shared" si="201"/>
        <v>26172</v>
      </c>
      <c r="T379" s="40">
        <v>800</v>
      </c>
      <c r="U379" s="40">
        <v>0</v>
      </c>
      <c r="V379" s="40">
        <v>0</v>
      </c>
      <c r="W379" s="22">
        <f>SUM(S379:V379)-600</f>
        <v>26372</v>
      </c>
      <c r="X379" s="22">
        <v>0</v>
      </c>
      <c r="Y379" s="23">
        <v>0</v>
      </c>
      <c r="Z379" s="140">
        <f t="shared" si="182"/>
        <v>26372</v>
      </c>
      <c r="AA379" s="140">
        <f>-258-674</f>
        <v>-932</v>
      </c>
      <c r="AB379" s="140">
        <f>-25162</f>
        <v>-25162</v>
      </c>
      <c r="AC379" s="140">
        <v>0</v>
      </c>
      <c r="AD379" s="127">
        <f t="shared" si="155"/>
        <v>278</v>
      </c>
    </row>
    <row r="380" spans="1:30" ht="15" customHeight="1" x14ac:dyDescent="0.25">
      <c r="A380" s="69" t="s">
        <v>388</v>
      </c>
      <c r="B380" s="58"/>
      <c r="C380" s="22">
        <v>0</v>
      </c>
      <c r="D380" s="22">
        <v>0</v>
      </c>
      <c r="E380" s="22">
        <f t="shared" si="202"/>
        <v>0</v>
      </c>
      <c r="F380" s="22">
        <v>0</v>
      </c>
      <c r="G380" s="22">
        <v>0</v>
      </c>
      <c r="H380" s="22">
        <f t="shared" si="203"/>
        <v>0</v>
      </c>
      <c r="I380" s="22">
        <v>0</v>
      </c>
      <c r="J380" s="22">
        <v>0</v>
      </c>
      <c r="K380" s="22">
        <f t="shared" si="146"/>
        <v>0</v>
      </c>
      <c r="L380" s="22">
        <v>0</v>
      </c>
      <c r="M380" s="22">
        <f t="shared" si="199"/>
        <v>0</v>
      </c>
      <c r="N380" s="40" t="s">
        <v>46</v>
      </c>
      <c r="O380" s="40">
        <v>0</v>
      </c>
      <c r="P380" s="40">
        <f t="shared" si="204"/>
        <v>0</v>
      </c>
      <c r="Q380" s="40">
        <v>0</v>
      </c>
      <c r="R380" s="40">
        <v>0</v>
      </c>
      <c r="S380" s="40">
        <f t="shared" si="201"/>
        <v>0</v>
      </c>
      <c r="T380" s="40">
        <v>0</v>
      </c>
      <c r="U380" s="40">
        <v>0</v>
      </c>
      <c r="V380" s="40">
        <v>0</v>
      </c>
      <c r="W380" s="22">
        <f t="shared" si="171"/>
        <v>0</v>
      </c>
      <c r="X380" s="22">
        <v>0</v>
      </c>
      <c r="Y380" s="23">
        <v>0</v>
      </c>
      <c r="Z380" s="144">
        <f t="shared" si="182"/>
        <v>0</v>
      </c>
      <c r="AA380" s="144">
        <v>0</v>
      </c>
      <c r="AB380" s="144">
        <v>0</v>
      </c>
      <c r="AC380" s="144">
        <v>0</v>
      </c>
      <c r="AD380" s="134">
        <f t="shared" si="155"/>
        <v>0</v>
      </c>
    </row>
    <row r="381" spans="1:30" ht="16.350000000000001" customHeight="1" thickBot="1" x14ac:dyDescent="0.3">
      <c r="A381" s="171" t="s">
        <v>299</v>
      </c>
      <c r="B381" s="172"/>
      <c r="C381" s="173">
        <f>SUM(C383:C388)</f>
        <v>6500</v>
      </c>
      <c r="D381" s="173">
        <f>SUM(D383:D388)</f>
        <v>0</v>
      </c>
      <c r="E381" s="173">
        <f>SUM(C381:D381)</f>
        <v>6500</v>
      </c>
      <c r="F381" s="173">
        <f>SUM(F383:F388)</f>
        <v>-1050</v>
      </c>
      <c r="G381" s="173">
        <f>SUM(G383:G388)</f>
        <v>-92.300000000000011</v>
      </c>
      <c r="H381" s="173">
        <f>SUM(H383:H388)</f>
        <v>5357.7</v>
      </c>
      <c r="I381" s="173">
        <f>SUM(I383:I388)</f>
        <v>-2318.1</v>
      </c>
      <c r="J381" s="173">
        <f>SUM(J383:J388)</f>
        <v>-350.1</v>
      </c>
      <c r="K381" s="173">
        <f t="shared" si="146"/>
        <v>2689.5</v>
      </c>
      <c r="L381" s="173">
        <f>SUM(L383:L388)</f>
        <v>6622.45</v>
      </c>
      <c r="M381" s="173">
        <f>SUM(M383:M388)</f>
        <v>3932.95</v>
      </c>
      <c r="N381" s="179">
        <f>L381/K381</f>
        <v>2.4623350065067857</v>
      </c>
      <c r="O381" s="179">
        <f t="shared" ref="O381:T381" si="205">SUM(O383:O388)</f>
        <v>146.41</v>
      </c>
      <c r="P381" s="179">
        <f t="shared" si="205"/>
        <v>6768.86</v>
      </c>
      <c r="Q381" s="179">
        <f t="shared" si="205"/>
        <v>90</v>
      </c>
      <c r="R381" s="179">
        <f t="shared" si="205"/>
        <v>0</v>
      </c>
      <c r="S381" s="179">
        <f t="shared" si="205"/>
        <v>6858.86</v>
      </c>
      <c r="T381" s="179">
        <f t="shared" si="205"/>
        <v>-1853.8</v>
      </c>
      <c r="U381" s="179">
        <f>SUM(U383:U388)</f>
        <v>0</v>
      </c>
      <c r="V381" s="179">
        <f>SUM(V383:V388)</f>
        <v>0</v>
      </c>
      <c r="W381" s="173">
        <f>SUM(W383:W388)</f>
        <v>5005.0599999999995</v>
      </c>
      <c r="X381" s="173">
        <f>SUM(X383:X388)</f>
        <v>0</v>
      </c>
      <c r="Y381" s="174">
        <f>SUM(Y383:Y388)</f>
        <v>0</v>
      </c>
      <c r="Z381" s="173">
        <f t="shared" si="182"/>
        <v>5005.0599999999995</v>
      </c>
      <c r="AA381" s="173">
        <f>SUM(AA383:AA388)</f>
        <v>0</v>
      </c>
      <c r="AB381" s="173">
        <f>SUM(AB383:AB388)</f>
        <v>-1564.34</v>
      </c>
      <c r="AC381" s="173">
        <f>SUM(AC383:AC388)</f>
        <v>0</v>
      </c>
      <c r="AD381" s="175">
        <f t="shared" si="155"/>
        <v>3440.7199999999993</v>
      </c>
    </row>
    <row r="382" spans="1:30" ht="15" customHeight="1" x14ac:dyDescent="0.25">
      <c r="A382" s="72" t="s">
        <v>54</v>
      </c>
      <c r="B382" s="64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88"/>
      <c r="O382" s="88"/>
      <c r="P382" s="88"/>
      <c r="Q382" s="88"/>
      <c r="R382" s="88"/>
      <c r="S382" s="88"/>
      <c r="T382" s="88"/>
      <c r="U382" s="88"/>
      <c r="V382" s="88"/>
      <c r="W382" s="18"/>
      <c r="X382" s="18"/>
      <c r="Y382" s="19"/>
      <c r="Z382" s="140"/>
      <c r="AA382" s="140"/>
      <c r="AB382" s="140"/>
      <c r="AC382" s="140"/>
      <c r="AD382" s="127"/>
    </row>
    <row r="383" spans="1:30" ht="24.75" customHeight="1" x14ac:dyDescent="0.25">
      <c r="A383" s="20" t="s">
        <v>389</v>
      </c>
      <c r="B383" s="68"/>
      <c r="C383" s="22">
        <v>0</v>
      </c>
      <c r="D383" s="22">
        <v>0</v>
      </c>
      <c r="E383" s="40">
        <f>SUM(C383:D383)</f>
        <v>0</v>
      </c>
      <c r="F383" s="40">
        <v>0</v>
      </c>
      <c r="G383" s="40">
        <v>0</v>
      </c>
      <c r="H383" s="40">
        <f>SUM(E383:G383)</f>
        <v>0</v>
      </c>
      <c r="I383" s="40">
        <v>0</v>
      </c>
      <c r="J383" s="40">
        <v>0</v>
      </c>
      <c r="K383" s="22">
        <f t="shared" si="146"/>
        <v>0</v>
      </c>
      <c r="L383" s="22">
        <v>0</v>
      </c>
      <c r="M383" s="22">
        <f>L383-K383</f>
        <v>0</v>
      </c>
      <c r="N383" s="40" t="s">
        <v>46</v>
      </c>
      <c r="O383" s="40">
        <v>0</v>
      </c>
      <c r="P383" s="40">
        <f>L383+O383</f>
        <v>0</v>
      </c>
      <c r="Q383" s="40">
        <v>0</v>
      </c>
      <c r="R383" s="40">
        <v>0</v>
      </c>
      <c r="S383" s="40">
        <f>SUM(P383:R383)</f>
        <v>0</v>
      </c>
      <c r="T383" s="40">
        <v>0</v>
      </c>
      <c r="U383" s="40">
        <v>0</v>
      </c>
      <c r="V383" s="40">
        <v>0</v>
      </c>
      <c r="W383" s="22">
        <f t="shared" si="171"/>
        <v>0</v>
      </c>
      <c r="X383" s="22">
        <v>0</v>
      </c>
      <c r="Y383" s="23">
        <v>0</v>
      </c>
      <c r="Z383" s="140">
        <f t="shared" si="182"/>
        <v>0</v>
      </c>
      <c r="AA383" s="140">
        <v>0</v>
      </c>
      <c r="AB383" s="140">
        <v>0</v>
      </c>
      <c r="AC383" s="140">
        <v>0</v>
      </c>
      <c r="AD383" s="127">
        <f t="shared" si="155"/>
        <v>0</v>
      </c>
    </row>
    <row r="384" spans="1:30" ht="24.75" customHeight="1" x14ac:dyDescent="0.25">
      <c r="A384" s="20" t="s">
        <v>390</v>
      </c>
      <c r="B384" s="109" t="s">
        <v>391</v>
      </c>
      <c r="C384" s="22">
        <v>5000</v>
      </c>
      <c r="D384" s="22">
        <v>0</v>
      </c>
      <c r="E384" s="40">
        <f t="shared" ref="E384:E388" si="206">SUM(C384:D384)</f>
        <v>5000</v>
      </c>
      <c r="F384" s="40">
        <v>-1050</v>
      </c>
      <c r="G384" s="40">
        <v>0</v>
      </c>
      <c r="H384" s="40">
        <f t="shared" ref="H384:H388" si="207">SUM(E384:G384)</f>
        <v>3950</v>
      </c>
      <c r="I384" s="40">
        <v>-2318.1</v>
      </c>
      <c r="J384" s="40">
        <v>0</v>
      </c>
      <c r="K384" s="22">
        <f t="shared" si="146"/>
        <v>1631.9</v>
      </c>
      <c r="L384" s="22">
        <v>5000</v>
      </c>
      <c r="M384" s="22">
        <f t="shared" ref="M384:M388" si="208">L384-K384</f>
        <v>3368.1</v>
      </c>
      <c r="N384" s="22">
        <f>L384/K384</f>
        <v>3.0639132299773268</v>
      </c>
      <c r="O384" s="22">
        <v>0</v>
      </c>
      <c r="P384" s="40">
        <f t="shared" ref="P384:P388" si="209">L384+O384</f>
        <v>5000</v>
      </c>
      <c r="Q384" s="22">
        <v>0</v>
      </c>
      <c r="R384" s="22">
        <v>0</v>
      </c>
      <c r="S384" s="40">
        <f t="shared" ref="S384:S388" si="210">SUM(P384:R384)</f>
        <v>5000</v>
      </c>
      <c r="T384" s="40">
        <v>-1853.8</v>
      </c>
      <c r="U384" s="40">
        <v>0</v>
      </c>
      <c r="V384" s="40">
        <v>0</v>
      </c>
      <c r="W384" s="22">
        <f t="shared" si="171"/>
        <v>3146.2</v>
      </c>
      <c r="X384" s="22">
        <v>0</v>
      </c>
      <c r="Y384" s="23">
        <v>0</v>
      </c>
      <c r="Z384" s="140">
        <f t="shared" si="182"/>
        <v>3146.2</v>
      </c>
      <c r="AA384" s="140">
        <v>0</v>
      </c>
      <c r="AB384" s="140">
        <v>0</v>
      </c>
      <c r="AC384" s="140">
        <v>0</v>
      </c>
      <c r="AD384" s="127">
        <f t="shared" si="155"/>
        <v>3146.2</v>
      </c>
    </row>
    <row r="385" spans="1:30" ht="15" customHeight="1" x14ac:dyDescent="0.25">
      <c r="A385" s="69" t="s">
        <v>392</v>
      </c>
      <c r="B385" s="58"/>
      <c r="C385" s="22">
        <v>1000</v>
      </c>
      <c r="D385" s="22">
        <v>0</v>
      </c>
      <c r="E385" s="40">
        <f t="shared" si="206"/>
        <v>1000</v>
      </c>
      <c r="F385" s="40">
        <v>0</v>
      </c>
      <c r="G385" s="40">
        <f>-157.3</f>
        <v>-157.30000000000001</v>
      </c>
      <c r="H385" s="40">
        <f t="shared" si="207"/>
        <v>842.7</v>
      </c>
      <c r="I385" s="40">
        <v>0</v>
      </c>
      <c r="J385" s="40">
        <f>-326.7-121-229.9</f>
        <v>-677.6</v>
      </c>
      <c r="K385" s="22">
        <f t="shared" si="146"/>
        <v>165.10000000000002</v>
      </c>
      <c r="L385" s="22">
        <v>1000</v>
      </c>
      <c r="M385" s="22">
        <f t="shared" si="208"/>
        <v>834.9</v>
      </c>
      <c r="N385" s="22">
        <f t="shared" ref="N385:N386" si="211">L385/K385</f>
        <v>6.0569351907934577</v>
      </c>
      <c r="O385" s="22">
        <v>0</v>
      </c>
      <c r="P385" s="40">
        <f t="shared" si="209"/>
        <v>1000</v>
      </c>
      <c r="Q385" s="22">
        <v>0</v>
      </c>
      <c r="R385" s="22">
        <v>0</v>
      </c>
      <c r="S385" s="40">
        <f t="shared" si="210"/>
        <v>1000</v>
      </c>
      <c r="T385" s="40">
        <v>0</v>
      </c>
      <c r="U385" s="40">
        <v>0</v>
      </c>
      <c r="V385" s="40">
        <v>0</v>
      </c>
      <c r="W385" s="22">
        <f t="shared" si="171"/>
        <v>1000</v>
      </c>
      <c r="X385" s="22">
        <v>0</v>
      </c>
      <c r="Y385" s="23">
        <v>0</v>
      </c>
      <c r="Z385" s="140">
        <f t="shared" si="182"/>
        <v>1000</v>
      </c>
      <c r="AA385" s="140">
        <v>0</v>
      </c>
      <c r="AB385" s="140">
        <f>-1000</f>
        <v>-1000</v>
      </c>
      <c r="AC385" s="140">
        <v>0</v>
      </c>
      <c r="AD385" s="127">
        <f t="shared" si="155"/>
        <v>0</v>
      </c>
    </row>
    <row r="386" spans="1:30" ht="15" customHeight="1" x14ac:dyDescent="0.25">
      <c r="A386" s="69" t="s">
        <v>342</v>
      </c>
      <c r="B386" s="58"/>
      <c r="C386" s="22">
        <v>500</v>
      </c>
      <c r="D386" s="22">
        <v>0</v>
      </c>
      <c r="E386" s="40">
        <f t="shared" si="206"/>
        <v>500</v>
      </c>
      <c r="F386" s="40">
        <v>0</v>
      </c>
      <c r="G386" s="40">
        <f>27+38</f>
        <v>65</v>
      </c>
      <c r="H386" s="40">
        <f t="shared" si="207"/>
        <v>565</v>
      </c>
      <c r="I386" s="40">
        <v>0</v>
      </c>
      <c r="J386" s="40">
        <f>25+302.5</f>
        <v>327.5</v>
      </c>
      <c r="K386" s="22">
        <f t="shared" si="146"/>
        <v>892.5</v>
      </c>
      <c r="L386" s="22">
        <v>622.45000000000005</v>
      </c>
      <c r="M386" s="22">
        <f t="shared" si="208"/>
        <v>-270.04999999999995</v>
      </c>
      <c r="N386" s="22">
        <f t="shared" si="211"/>
        <v>0.6974229691876751</v>
      </c>
      <c r="O386" s="22">
        <f>146.41</f>
        <v>146.41</v>
      </c>
      <c r="P386" s="40">
        <f t="shared" si="209"/>
        <v>768.86</v>
      </c>
      <c r="Q386" s="22">
        <v>0</v>
      </c>
      <c r="R386" s="22">
        <v>0</v>
      </c>
      <c r="S386" s="40">
        <f t="shared" si="210"/>
        <v>768.86</v>
      </c>
      <c r="T386" s="40">
        <v>0</v>
      </c>
      <c r="U386" s="40">
        <v>0</v>
      </c>
      <c r="V386" s="40">
        <v>0</v>
      </c>
      <c r="W386" s="22">
        <f t="shared" si="171"/>
        <v>768.86</v>
      </c>
      <c r="X386" s="22">
        <v>0</v>
      </c>
      <c r="Y386" s="23">
        <v>0</v>
      </c>
      <c r="Z386" s="140">
        <f t="shared" si="182"/>
        <v>768.86</v>
      </c>
      <c r="AA386" s="140">
        <v>0</v>
      </c>
      <c r="AB386" s="140">
        <f>-474.34</f>
        <v>-474.34</v>
      </c>
      <c r="AC386" s="140">
        <v>0</v>
      </c>
      <c r="AD386" s="127">
        <f>SUM(Z386:AC386)</f>
        <v>294.52000000000004</v>
      </c>
    </row>
    <row r="387" spans="1:30" ht="24" customHeight="1" x14ac:dyDescent="0.25">
      <c r="A387" s="20" t="s">
        <v>393</v>
      </c>
      <c r="B387" s="58"/>
      <c r="C387" s="22"/>
      <c r="D387" s="22"/>
      <c r="E387" s="40"/>
      <c r="F387" s="40"/>
      <c r="G387" s="40"/>
      <c r="H387" s="40"/>
      <c r="I387" s="40"/>
      <c r="J387" s="40"/>
      <c r="K387" s="22"/>
      <c r="L387" s="22">
        <v>0</v>
      </c>
      <c r="M387" s="22"/>
      <c r="N387" s="22"/>
      <c r="O387" s="22"/>
      <c r="P387" s="40">
        <v>0</v>
      </c>
      <c r="Q387" s="22">
        <v>90</v>
      </c>
      <c r="R387" s="22">
        <v>0</v>
      </c>
      <c r="S387" s="40">
        <f t="shared" si="210"/>
        <v>90</v>
      </c>
      <c r="T387" s="40">
        <v>0</v>
      </c>
      <c r="U387" s="40">
        <v>0</v>
      </c>
      <c r="V387" s="40">
        <v>0</v>
      </c>
      <c r="W387" s="22">
        <f t="shared" si="171"/>
        <v>90</v>
      </c>
      <c r="X387" s="22">
        <v>0</v>
      </c>
      <c r="Y387" s="23">
        <v>0</v>
      </c>
      <c r="Z387" s="140">
        <f t="shared" si="182"/>
        <v>90</v>
      </c>
      <c r="AA387" s="140">
        <v>0</v>
      </c>
      <c r="AB387" s="140">
        <f>-90</f>
        <v>-90</v>
      </c>
      <c r="AC387" s="140">
        <v>0</v>
      </c>
      <c r="AD387" s="127">
        <f t="shared" si="155"/>
        <v>0</v>
      </c>
    </row>
    <row r="388" spans="1:30" ht="27.75" customHeight="1" thickBot="1" x14ac:dyDescent="0.3">
      <c r="A388" s="24" t="s">
        <v>394</v>
      </c>
      <c r="B388" s="60"/>
      <c r="C388" s="61">
        <v>0</v>
      </c>
      <c r="D388" s="26">
        <v>0</v>
      </c>
      <c r="E388" s="61">
        <f t="shared" si="206"/>
        <v>0</v>
      </c>
      <c r="F388" s="61">
        <v>0</v>
      </c>
      <c r="G388" s="61">
        <v>0</v>
      </c>
      <c r="H388" s="61">
        <f t="shared" si="207"/>
        <v>0</v>
      </c>
      <c r="I388" s="61">
        <v>0</v>
      </c>
      <c r="J388" s="61">
        <v>0</v>
      </c>
      <c r="K388" s="26">
        <f t="shared" ref="K388:K418" si="212">SUM(H388:J388)</f>
        <v>0</v>
      </c>
      <c r="L388" s="26">
        <v>0</v>
      </c>
      <c r="M388" s="26">
        <f t="shared" si="208"/>
        <v>0</v>
      </c>
      <c r="N388" s="26" t="s">
        <v>46</v>
      </c>
      <c r="O388" s="26">
        <v>0</v>
      </c>
      <c r="P388" s="26">
        <f t="shared" si="209"/>
        <v>0</v>
      </c>
      <c r="Q388" s="26">
        <v>0</v>
      </c>
      <c r="R388" s="26">
        <v>0</v>
      </c>
      <c r="S388" s="26">
        <f t="shared" si="210"/>
        <v>0</v>
      </c>
      <c r="T388" s="26">
        <v>0</v>
      </c>
      <c r="U388" s="26">
        <v>0</v>
      </c>
      <c r="V388" s="26">
        <v>0</v>
      </c>
      <c r="W388" s="26">
        <f t="shared" si="171"/>
        <v>0</v>
      </c>
      <c r="X388" s="26">
        <v>0</v>
      </c>
      <c r="Y388" s="27">
        <v>0</v>
      </c>
      <c r="Z388" s="141">
        <f t="shared" si="182"/>
        <v>0</v>
      </c>
      <c r="AA388" s="141">
        <v>0</v>
      </c>
      <c r="AB388" s="141">
        <v>0</v>
      </c>
      <c r="AC388" s="141">
        <v>0</v>
      </c>
      <c r="AD388" s="128">
        <f t="shared" si="155"/>
        <v>0</v>
      </c>
    </row>
    <row r="389" spans="1:30" ht="16.350000000000001" customHeight="1" thickBot="1" x14ac:dyDescent="0.3">
      <c r="A389" s="71" t="s">
        <v>326</v>
      </c>
      <c r="B389" s="65"/>
      <c r="C389" s="54">
        <f>SUM(C391:C392)</f>
        <v>850</v>
      </c>
      <c r="D389" s="54">
        <f>SUM(D391:D392)</f>
        <v>0</v>
      </c>
      <c r="E389" s="105">
        <f>SUM(C389:D389)</f>
        <v>850</v>
      </c>
      <c r="F389" s="105">
        <f>SUM(F391:F392)</f>
        <v>0</v>
      </c>
      <c r="G389" s="105">
        <f>SUM(G391:G392)</f>
        <v>0</v>
      </c>
      <c r="H389" s="105">
        <f>SUM(H391:H392)</f>
        <v>850</v>
      </c>
      <c r="I389" s="105">
        <f>SUM(I391:I392)</f>
        <v>0</v>
      </c>
      <c r="J389" s="105">
        <f>SUM(J391:J392)</f>
        <v>0</v>
      </c>
      <c r="K389" s="54">
        <f t="shared" si="212"/>
        <v>850</v>
      </c>
      <c r="L389" s="54">
        <f t="shared" ref="L389" si="213">SUM(L391:L392)</f>
        <v>850</v>
      </c>
      <c r="M389" s="54">
        <f>SUM(M391:M392)</f>
        <v>0</v>
      </c>
      <c r="N389" s="54">
        <f>L389/K389</f>
        <v>1</v>
      </c>
      <c r="O389" s="54">
        <f t="shared" ref="O389:T389" si="214">SUM(O391:O392)</f>
        <v>0</v>
      </c>
      <c r="P389" s="54">
        <f t="shared" si="214"/>
        <v>850</v>
      </c>
      <c r="Q389" s="54">
        <f t="shared" si="214"/>
        <v>100</v>
      </c>
      <c r="R389" s="54">
        <f t="shared" si="214"/>
        <v>55</v>
      </c>
      <c r="S389" s="54">
        <f t="shared" si="214"/>
        <v>1005</v>
      </c>
      <c r="T389" s="54">
        <f t="shared" si="214"/>
        <v>0</v>
      </c>
      <c r="U389" s="54">
        <f>SUM(U391:U392)</f>
        <v>0</v>
      </c>
      <c r="V389" s="54">
        <f>SUM(V391:V392)</f>
        <v>0</v>
      </c>
      <c r="W389" s="54">
        <f>SUM(W391:W392)</f>
        <v>1005</v>
      </c>
      <c r="X389" s="54">
        <f>SUM(X391:X392)</f>
        <v>0</v>
      </c>
      <c r="Y389" s="55">
        <f>SUM(Y391:Y392)</f>
        <v>0</v>
      </c>
      <c r="Z389" s="54">
        <f t="shared" si="182"/>
        <v>1005</v>
      </c>
      <c r="AA389" s="54">
        <f>SUM(AA391:AA392)</f>
        <v>0</v>
      </c>
      <c r="AB389" s="54">
        <f>SUM(AB391:AB392)</f>
        <v>0</v>
      </c>
      <c r="AC389" s="54">
        <f>SUM(AC391:AC392)</f>
        <v>0</v>
      </c>
      <c r="AD389" s="133">
        <f t="shared" si="155"/>
        <v>1005</v>
      </c>
    </row>
    <row r="390" spans="1:30" ht="15" customHeight="1" x14ac:dyDescent="0.25">
      <c r="A390" s="72" t="s">
        <v>54</v>
      </c>
      <c r="B390" s="64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9"/>
      <c r="Z390" s="140"/>
      <c r="AA390" s="140"/>
      <c r="AB390" s="140"/>
      <c r="AC390" s="140"/>
      <c r="AD390" s="127"/>
    </row>
    <row r="391" spans="1:30" ht="15" customHeight="1" x14ac:dyDescent="0.25">
      <c r="A391" s="69" t="s">
        <v>395</v>
      </c>
      <c r="B391" s="58"/>
      <c r="C391" s="22">
        <v>0</v>
      </c>
      <c r="D391" s="22">
        <v>0</v>
      </c>
      <c r="E391" s="40">
        <f>SUM(C391:D391)</f>
        <v>0</v>
      </c>
      <c r="F391" s="40">
        <v>0</v>
      </c>
      <c r="G391" s="40">
        <v>0</v>
      </c>
      <c r="H391" s="40">
        <f>SUM(E391:G391)</f>
        <v>0</v>
      </c>
      <c r="I391" s="40">
        <v>0</v>
      </c>
      <c r="J391" s="40">
        <v>0</v>
      </c>
      <c r="K391" s="22">
        <f t="shared" si="212"/>
        <v>0</v>
      </c>
      <c r="L391" s="22">
        <v>0</v>
      </c>
      <c r="M391" s="22">
        <f>L391-K391</f>
        <v>0</v>
      </c>
      <c r="N391" s="40" t="s">
        <v>46</v>
      </c>
      <c r="O391" s="40">
        <v>0</v>
      </c>
      <c r="P391" s="40">
        <f>L391+O391</f>
        <v>0</v>
      </c>
      <c r="Q391" s="40">
        <v>0</v>
      </c>
      <c r="R391" s="40">
        <v>0</v>
      </c>
      <c r="S391" s="40">
        <f>SUM(P391:R391)</f>
        <v>0</v>
      </c>
      <c r="T391" s="40">
        <v>0</v>
      </c>
      <c r="U391" s="40">
        <v>0</v>
      </c>
      <c r="V391" s="40">
        <v>0</v>
      </c>
      <c r="W391" s="22">
        <f t="shared" si="171"/>
        <v>0</v>
      </c>
      <c r="X391" s="22">
        <v>0</v>
      </c>
      <c r="Y391" s="23">
        <v>0</v>
      </c>
      <c r="Z391" s="140">
        <f t="shared" si="182"/>
        <v>0</v>
      </c>
      <c r="AA391" s="140">
        <v>0</v>
      </c>
      <c r="AB391" s="140">
        <v>0</v>
      </c>
      <c r="AC391" s="140">
        <v>0</v>
      </c>
      <c r="AD391" s="127">
        <f t="shared" ref="AD391:AD415" si="215">SUM(Z391:AC391)</f>
        <v>0</v>
      </c>
    </row>
    <row r="392" spans="1:30" ht="15" customHeight="1" thickBot="1" x14ac:dyDescent="0.3">
      <c r="A392" s="70" t="s">
        <v>342</v>
      </c>
      <c r="B392" s="60"/>
      <c r="C392" s="26">
        <v>850</v>
      </c>
      <c r="D392" s="26">
        <v>0</v>
      </c>
      <c r="E392" s="61">
        <f>SUM(C392:D392)</f>
        <v>850</v>
      </c>
      <c r="F392" s="61">
        <v>0</v>
      </c>
      <c r="G392" s="61">
        <v>0</v>
      </c>
      <c r="H392" s="61">
        <f>SUM(E392:G392)</f>
        <v>850</v>
      </c>
      <c r="I392" s="61">
        <v>0</v>
      </c>
      <c r="J392" s="61">
        <v>0</v>
      </c>
      <c r="K392" s="26">
        <f t="shared" si="212"/>
        <v>850</v>
      </c>
      <c r="L392" s="26">
        <v>850</v>
      </c>
      <c r="M392" s="26">
        <f>L392-K392</f>
        <v>0</v>
      </c>
      <c r="N392" s="61">
        <f>L392/K392</f>
        <v>1</v>
      </c>
      <c r="O392" s="61">
        <v>0</v>
      </c>
      <c r="P392" s="61">
        <f>L392+O392</f>
        <v>850</v>
      </c>
      <c r="Q392" s="61">
        <v>100</v>
      </c>
      <c r="R392" s="61">
        <f>51+4</f>
        <v>55</v>
      </c>
      <c r="S392" s="61">
        <f>SUM(P392:R392)</f>
        <v>1005</v>
      </c>
      <c r="T392" s="61">
        <v>0</v>
      </c>
      <c r="U392" s="61">
        <v>0</v>
      </c>
      <c r="V392" s="61">
        <v>0</v>
      </c>
      <c r="W392" s="26">
        <f t="shared" si="171"/>
        <v>1005</v>
      </c>
      <c r="X392" s="26">
        <v>0</v>
      </c>
      <c r="Y392" s="27">
        <v>0</v>
      </c>
      <c r="Z392" s="141">
        <f t="shared" si="182"/>
        <v>1005</v>
      </c>
      <c r="AA392" s="141">
        <v>0</v>
      </c>
      <c r="AB392" s="141">
        <v>0</v>
      </c>
      <c r="AC392" s="141">
        <v>0</v>
      </c>
      <c r="AD392" s="128">
        <f t="shared" si="215"/>
        <v>1005</v>
      </c>
    </row>
    <row r="393" spans="1:30" ht="16.350000000000001" customHeight="1" thickBot="1" x14ac:dyDescent="0.3">
      <c r="A393" s="71" t="s">
        <v>329</v>
      </c>
      <c r="B393" s="65"/>
      <c r="C393" s="54">
        <f>SUM(C395:C396)</f>
        <v>3342</v>
      </c>
      <c r="D393" s="54">
        <f>SUM(D395:D396)</f>
        <v>-595</v>
      </c>
      <c r="E393" s="54">
        <f>SUM(C393:D393)</f>
        <v>2747</v>
      </c>
      <c r="F393" s="54">
        <f>SUM(F395:F396)</f>
        <v>1500</v>
      </c>
      <c r="G393" s="54">
        <f>SUM(G395:G396)</f>
        <v>-95</v>
      </c>
      <c r="H393" s="54">
        <f>SUM(H395:H396)</f>
        <v>4152</v>
      </c>
      <c r="I393" s="54">
        <f>SUM(I395:I396)</f>
        <v>1093</v>
      </c>
      <c r="J393" s="54">
        <f>SUM(J395:J396)</f>
        <v>-1106.7</v>
      </c>
      <c r="K393" s="54">
        <f t="shared" si="212"/>
        <v>4138.3</v>
      </c>
      <c r="L393" s="54">
        <f t="shared" ref="L393" si="216">SUM(L395:L396)</f>
        <v>0</v>
      </c>
      <c r="M393" s="54">
        <f>SUM(M395:M396)</f>
        <v>-4138.3</v>
      </c>
      <c r="N393" s="105">
        <f>L393/K393</f>
        <v>0</v>
      </c>
      <c r="O393" s="105">
        <f t="shared" ref="O393:T393" si="217">SUM(O395:O396)</f>
        <v>0</v>
      </c>
      <c r="P393" s="105">
        <f t="shared" si="217"/>
        <v>0</v>
      </c>
      <c r="Q393" s="105">
        <f t="shared" si="217"/>
        <v>21651.5</v>
      </c>
      <c r="R393" s="105">
        <f t="shared" si="217"/>
        <v>-116.41000000000001</v>
      </c>
      <c r="S393" s="105">
        <f t="shared" si="217"/>
        <v>21535.09</v>
      </c>
      <c r="T393" s="105">
        <f t="shared" si="217"/>
        <v>75</v>
      </c>
      <c r="U393" s="105">
        <f>SUM(U395:U396)</f>
        <v>0</v>
      </c>
      <c r="V393" s="105">
        <f>SUM(V395:V396)</f>
        <v>239</v>
      </c>
      <c r="W393" s="54">
        <f>SUM(W395:W396)</f>
        <v>21849.09</v>
      </c>
      <c r="X393" s="54">
        <f>SUM(X395:X396)</f>
        <v>0</v>
      </c>
      <c r="Y393" s="55">
        <f>SUM(Y395:Y396)</f>
        <v>354</v>
      </c>
      <c r="Z393" s="54">
        <f t="shared" si="182"/>
        <v>22203.09</v>
      </c>
      <c r="AA393" s="54">
        <f>SUM(AA395:AA396)</f>
        <v>272.5</v>
      </c>
      <c r="AB393" s="54">
        <f>SUM(AB395:AB396)</f>
        <v>-20619</v>
      </c>
      <c r="AC393" s="54">
        <f>SUM(AC395:AC396)</f>
        <v>0</v>
      </c>
      <c r="AD393" s="133">
        <f t="shared" si="215"/>
        <v>1856.5900000000001</v>
      </c>
    </row>
    <row r="394" spans="1:30" ht="15" customHeight="1" x14ac:dyDescent="0.25">
      <c r="A394" s="72" t="s">
        <v>54</v>
      </c>
      <c r="B394" s="64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88"/>
      <c r="O394" s="88"/>
      <c r="P394" s="88"/>
      <c r="Q394" s="88"/>
      <c r="R394" s="88"/>
      <c r="S394" s="88"/>
      <c r="T394" s="88"/>
      <c r="U394" s="88"/>
      <c r="V394" s="88"/>
      <c r="W394" s="18"/>
      <c r="X394" s="18"/>
      <c r="Y394" s="19"/>
      <c r="Z394" s="140"/>
      <c r="AA394" s="140"/>
      <c r="AB394" s="140"/>
      <c r="AC394" s="140"/>
      <c r="AD394" s="127"/>
    </row>
    <row r="395" spans="1:30" ht="24.75" customHeight="1" x14ac:dyDescent="0.25">
      <c r="A395" s="20" t="s">
        <v>396</v>
      </c>
      <c r="B395" s="58"/>
      <c r="C395" s="22">
        <v>0</v>
      </c>
      <c r="D395" s="22">
        <v>0</v>
      </c>
      <c r="E395" s="40">
        <f>SUM(C395:D395)</f>
        <v>0</v>
      </c>
      <c r="F395" s="40">
        <v>0</v>
      </c>
      <c r="G395" s="40">
        <v>0</v>
      </c>
      <c r="H395" s="40">
        <f>SUM(E395:G395)</f>
        <v>0</v>
      </c>
      <c r="I395" s="40">
        <v>0</v>
      </c>
      <c r="J395" s="40">
        <v>0</v>
      </c>
      <c r="K395" s="22">
        <f t="shared" si="212"/>
        <v>0</v>
      </c>
      <c r="L395" s="22">
        <v>0</v>
      </c>
      <c r="M395" s="22">
        <f>L395-K395</f>
        <v>0</v>
      </c>
      <c r="N395" s="40" t="s">
        <v>46</v>
      </c>
      <c r="O395" s="40">
        <v>0</v>
      </c>
      <c r="P395" s="40">
        <f>L395+O395</f>
        <v>0</v>
      </c>
      <c r="Q395" s="40">
        <v>0</v>
      </c>
      <c r="R395" s="40">
        <v>0</v>
      </c>
      <c r="S395" s="40">
        <f>SUM(P395:R395)</f>
        <v>0</v>
      </c>
      <c r="T395" s="40">
        <v>0</v>
      </c>
      <c r="U395" s="40">
        <v>0</v>
      </c>
      <c r="V395" s="40">
        <v>0</v>
      </c>
      <c r="W395" s="22">
        <f t="shared" si="171"/>
        <v>0</v>
      </c>
      <c r="X395" s="22">
        <v>0</v>
      </c>
      <c r="Y395" s="23">
        <v>0</v>
      </c>
      <c r="Z395" s="140">
        <f t="shared" si="182"/>
        <v>0</v>
      </c>
      <c r="AA395" s="140">
        <v>0</v>
      </c>
      <c r="AB395" s="140">
        <v>0</v>
      </c>
      <c r="AC395" s="140">
        <v>0</v>
      </c>
      <c r="AD395" s="127">
        <f t="shared" si="215"/>
        <v>0</v>
      </c>
    </row>
    <row r="396" spans="1:30" ht="15" customHeight="1" thickBot="1" x14ac:dyDescent="0.3">
      <c r="A396" s="70" t="s">
        <v>342</v>
      </c>
      <c r="B396" s="60"/>
      <c r="C396" s="26">
        <v>3342</v>
      </c>
      <c r="D396" s="26">
        <f>205-800</f>
        <v>-595</v>
      </c>
      <c r="E396" s="61">
        <f>SUM(C396:D396)</f>
        <v>2747</v>
      </c>
      <c r="F396" s="61">
        <v>1500</v>
      </c>
      <c r="G396" s="61">
        <f>54-149</f>
        <v>-95</v>
      </c>
      <c r="H396" s="61">
        <f>SUM(E396:G396)</f>
        <v>4152</v>
      </c>
      <c r="I396" s="61">
        <v>1093</v>
      </c>
      <c r="J396" s="61">
        <f>54.3-21-50-1090</f>
        <v>-1106.7</v>
      </c>
      <c r="K396" s="26">
        <f t="shared" si="212"/>
        <v>4138.3</v>
      </c>
      <c r="L396" s="26">
        <v>0</v>
      </c>
      <c r="M396" s="26">
        <f>L396-K396</f>
        <v>-4138.3</v>
      </c>
      <c r="N396" s="61">
        <f>L396/K396</f>
        <v>0</v>
      </c>
      <c r="O396" s="61">
        <v>0</v>
      </c>
      <c r="P396" s="61">
        <f>L396+O396</f>
        <v>0</v>
      </c>
      <c r="Q396" s="61">
        <v>21651.5</v>
      </c>
      <c r="R396" s="61">
        <f>1.6-118.01</f>
        <v>-116.41000000000001</v>
      </c>
      <c r="S396" s="61">
        <f>SUM(P396:R396)</f>
        <v>21535.09</v>
      </c>
      <c r="T396" s="61">
        <v>75</v>
      </c>
      <c r="U396" s="61">
        <v>0</v>
      </c>
      <c r="V396" s="61">
        <f>239</f>
        <v>239</v>
      </c>
      <c r="W396" s="26">
        <f t="shared" si="171"/>
        <v>21849.09</v>
      </c>
      <c r="X396" s="26">
        <v>0</v>
      </c>
      <c r="Y396" s="27">
        <f>354</f>
        <v>354</v>
      </c>
      <c r="Z396" s="145">
        <f t="shared" si="182"/>
        <v>22203.09</v>
      </c>
      <c r="AA396" s="145">
        <f>272.5</f>
        <v>272.5</v>
      </c>
      <c r="AB396" s="145">
        <f>-20619</f>
        <v>-20619</v>
      </c>
      <c r="AC396" s="141">
        <v>0</v>
      </c>
      <c r="AD396" s="128">
        <f t="shared" si="215"/>
        <v>1856.5900000000001</v>
      </c>
    </row>
    <row r="397" spans="1:30" ht="24" customHeight="1" thickBot="1" x14ac:dyDescent="0.3">
      <c r="A397" s="96" t="s">
        <v>332</v>
      </c>
      <c r="B397" s="65"/>
      <c r="C397" s="54">
        <f>SUM(C399:C401)</f>
        <v>23190.41</v>
      </c>
      <c r="D397" s="54">
        <f>SUM(D399:D401)</f>
        <v>0</v>
      </c>
      <c r="E397" s="54">
        <f>SUM(C397:D397)</f>
        <v>23190.41</v>
      </c>
      <c r="F397" s="54">
        <f>SUM(F399:F401)</f>
        <v>0</v>
      </c>
      <c r="G397" s="54">
        <f>SUM(G399:G401)</f>
        <v>48</v>
      </c>
      <c r="H397" s="54">
        <f>SUM(H399:H401)</f>
        <v>23238.41</v>
      </c>
      <c r="I397" s="54">
        <f>SUM(I399:I401)</f>
        <v>5120</v>
      </c>
      <c r="J397" s="54">
        <f>SUM(J399:J401)</f>
        <v>-415.56</v>
      </c>
      <c r="K397" s="54">
        <f t="shared" si="212"/>
        <v>27942.85</v>
      </c>
      <c r="L397" s="54">
        <f t="shared" ref="L397" si="218">SUM(L399:L401)</f>
        <v>10750</v>
      </c>
      <c r="M397" s="54">
        <f>SUM(M399:M401)</f>
        <v>-17192.849999999999</v>
      </c>
      <c r="N397" s="105">
        <f>L397/K397</f>
        <v>0.3847137997734662</v>
      </c>
      <c r="O397" s="105">
        <f>SUM(O399:O401)</f>
        <v>0</v>
      </c>
      <c r="P397" s="105">
        <f>SUM(P399:P401)</f>
        <v>10750</v>
      </c>
      <c r="Q397" s="105">
        <f>SUM(Q399:Q401)</f>
        <v>80</v>
      </c>
      <c r="R397" s="105">
        <f t="shared" ref="R397:X397" si="219">SUM(R399:R402)</f>
        <v>50</v>
      </c>
      <c r="S397" s="105">
        <f t="shared" si="219"/>
        <v>10880</v>
      </c>
      <c r="T397" s="105">
        <f t="shared" si="219"/>
        <v>0</v>
      </c>
      <c r="U397" s="105">
        <f t="shared" si="219"/>
        <v>0</v>
      </c>
      <c r="V397" s="105">
        <f t="shared" si="219"/>
        <v>0</v>
      </c>
      <c r="W397" s="54">
        <f t="shared" si="219"/>
        <v>10880</v>
      </c>
      <c r="X397" s="54">
        <f t="shared" si="219"/>
        <v>0</v>
      </c>
      <c r="Y397" s="55">
        <f>SUM(Y399:Y402)</f>
        <v>0</v>
      </c>
      <c r="Z397" s="54">
        <f t="shared" si="182"/>
        <v>10880</v>
      </c>
      <c r="AA397" s="54">
        <f>SUM(AA399:AA402)</f>
        <v>0</v>
      </c>
      <c r="AB397" s="54">
        <f>SUM(AB399:AB402)</f>
        <v>0</v>
      </c>
      <c r="AC397" s="54">
        <f>SUM(AC399:AC402)</f>
        <v>0</v>
      </c>
      <c r="AD397" s="133">
        <f t="shared" si="215"/>
        <v>10880</v>
      </c>
    </row>
    <row r="398" spans="1:30" ht="15" customHeight="1" x14ac:dyDescent="0.25">
      <c r="A398" s="72" t="s">
        <v>54</v>
      </c>
      <c r="B398" s="64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88"/>
      <c r="O398" s="88"/>
      <c r="P398" s="88"/>
      <c r="Q398" s="88"/>
      <c r="R398" s="88"/>
      <c r="S398" s="88"/>
      <c r="T398" s="88"/>
      <c r="U398" s="88"/>
      <c r="V398" s="88"/>
      <c r="W398" s="18"/>
      <c r="X398" s="18"/>
      <c r="Y398" s="19"/>
      <c r="Z398" s="140"/>
      <c r="AA398" s="140"/>
      <c r="AB398" s="140"/>
      <c r="AC398" s="140"/>
      <c r="AD398" s="127"/>
    </row>
    <row r="399" spans="1:30" ht="27" customHeight="1" x14ac:dyDescent="0.25">
      <c r="A399" s="20" t="s">
        <v>397</v>
      </c>
      <c r="B399" s="58"/>
      <c r="C399" s="40">
        <v>0</v>
      </c>
      <c r="D399" s="40">
        <v>0</v>
      </c>
      <c r="E399" s="40">
        <f>SUM(C399:D399)</f>
        <v>0</v>
      </c>
      <c r="F399" s="40">
        <v>0</v>
      </c>
      <c r="G399" s="40">
        <v>0</v>
      </c>
      <c r="H399" s="40">
        <f>SUM(E399:G399)</f>
        <v>0</v>
      </c>
      <c r="I399" s="40">
        <v>0</v>
      </c>
      <c r="J399" s="40">
        <v>0</v>
      </c>
      <c r="K399" s="22">
        <f t="shared" si="212"/>
        <v>0</v>
      </c>
      <c r="L399" s="40">
        <v>0</v>
      </c>
      <c r="M399" s="40">
        <f>L399-K399</f>
        <v>0</v>
      </c>
      <c r="N399" s="40" t="s">
        <v>46</v>
      </c>
      <c r="O399" s="40">
        <v>0</v>
      </c>
      <c r="P399" s="40">
        <f>L399+O399</f>
        <v>0</v>
      </c>
      <c r="Q399" s="40">
        <v>0</v>
      </c>
      <c r="R399" s="40">
        <v>0</v>
      </c>
      <c r="S399" s="40">
        <f>SUM(P399:R399)</f>
        <v>0</v>
      </c>
      <c r="T399" s="40">
        <v>0</v>
      </c>
      <c r="U399" s="40">
        <v>0</v>
      </c>
      <c r="V399" s="40">
        <v>0</v>
      </c>
      <c r="W399" s="22">
        <f t="shared" si="171"/>
        <v>0</v>
      </c>
      <c r="X399" s="22">
        <v>0</v>
      </c>
      <c r="Y399" s="23">
        <v>0</v>
      </c>
      <c r="Z399" s="140">
        <f t="shared" si="182"/>
        <v>0</v>
      </c>
      <c r="AA399" s="140">
        <v>0</v>
      </c>
      <c r="AB399" s="140">
        <v>0</v>
      </c>
      <c r="AC399" s="140">
        <v>0</v>
      </c>
      <c r="AD399" s="127">
        <f t="shared" si="215"/>
        <v>0</v>
      </c>
    </row>
    <row r="400" spans="1:30" ht="15" customHeight="1" x14ac:dyDescent="0.25">
      <c r="A400" s="69" t="s">
        <v>342</v>
      </c>
      <c r="B400" s="58"/>
      <c r="C400" s="22">
        <v>22440.41</v>
      </c>
      <c r="D400" s="40">
        <v>0</v>
      </c>
      <c r="E400" s="40">
        <f t="shared" ref="E400:E401" si="220">SUM(C400:D400)</f>
        <v>22440.41</v>
      </c>
      <c r="F400" s="40">
        <v>0</v>
      </c>
      <c r="G400" s="40">
        <f>48</f>
        <v>48</v>
      </c>
      <c r="H400" s="40">
        <f t="shared" ref="H400:H401" si="221">SUM(E400:G400)</f>
        <v>22488.41</v>
      </c>
      <c r="I400" s="40">
        <v>5120</v>
      </c>
      <c r="J400" s="40">
        <f>-415.56</f>
        <v>-415.56</v>
      </c>
      <c r="K400" s="22">
        <f t="shared" si="212"/>
        <v>27192.85</v>
      </c>
      <c r="L400" s="22">
        <v>10000</v>
      </c>
      <c r="M400" s="40">
        <f t="shared" ref="M400:M401" si="222">L400-K400</f>
        <v>-17192.849999999999</v>
      </c>
      <c r="N400" s="40">
        <f t="shared" ref="N400:N401" si="223">L400/K400</f>
        <v>0.36774372675170131</v>
      </c>
      <c r="O400" s="40">
        <v>0</v>
      </c>
      <c r="P400" s="40">
        <f t="shared" ref="P400:P401" si="224">L400+O400</f>
        <v>10000</v>
      </c>
      <c r="Q400" s="40">
        <v>80</v>
      </c>
      <c r="R400" s="40">
        <v>0</v>
      </c>
      <c r="S400" s="40">
        <f t="shared" ref="S400" si="225">SUM(P400:R400)</f>
        <v>10080</v>
      </c>
      <c r="T400" s="40">
        <v>0</v>
      </c>
      <c r="U400" s="40">
        <v>0</v>
      </c>
      <c r="V400" s="40">
        <v>0</v>
      </c>
      <c r="W400" s="22">
        <f t="shared" si="171"/>
        <v>10080</v>
      </c>
      <c r="X400" s="22">
        <v>0</v>
      </c>
      <c r="Y400" s="23">
        <v>0</v>
      </c>
      <c r="Z400" s="140">
        <f t="shared" si="182"/>
        <v>10080</v>
      </c>
      <c r="AA400" s="140">
        <v>0</v>
      </c>
      <c r="AB400" s="140">
        <v>0</v>
      </c>
      <c r="AC400" s="140">
        <v>0</v>
      </c>
      <c r="AD400" s="127">
        <f t="shared" si="215"/>
        <v>10080</v>
      </c>
    </row>
    <row r="401" spans="1:30" ht="37.5" customHeight="1" x14ac:dyDescent="0.25">
      <c r="A401" s="110" t="s">
        <v>398</v>
      </c>
      <c r="B401" s="68" t="s">
        <v>94</v>
      </c>
      <c r="C401" s="22">
        <v>750</v>
      </c>
      <c r="D401" s="40">
        <v>0</v>
      </c>
      <c r="E401" s="40">
        <f t="shared" si="220"/>
        <v>750</v>
      </c>
      <c r="F401" s="40">
        <v>0</v>
      </c>
      <c r="G401" s="40">
        <v>0</v>
      </c>
      <c r="H401" s="40">
        <f t="shared" si="221"/>
        <v>750</v>
      </c>
      <c r="I401" s="40">
        <v>0</v>
      </c>
      <c r="J401" s="40">
        <v>0</v>
      </c>
      <c r="K401" s="22">
        <f t="shared" si="212"/>
        <v>750</v>
      </c>
      <c r="L401" s="22">
        <v>750</v>
      </c>
      <c r="M401" s="40">
        <f t="shared" si="222"/>
        <v>0</v>
      </c>
      <c r="N401" s="40">
        <f t="shared" si="223"/>
        <v>1</v>
      </c>
      <c r="O401" s="40">
        <v>0</v>
      </c>
      <c r="P401" s="40">
        <f t="shared" si="224"/>
        <v>750</v>
      </c>
      <c r="Q401" s="40">
        <v>0</v>
      </c>
      <c r="R401" s="40">
        <v>0</v>
      </c>
      <c r="S401" s="40">
        <f>SUM(P401:R401)</f>
        <v>750</v>
      </c>
      <c r="T401" s="40">
        <v>0</v>
      </c>
      <c r="U401" s="40">
        <v>0</v>
      </c>
      <c r="V401" s="40">
        <v>0</v>
      </c>
      <c r="W401" s="22">
        <f t="shared" si="171"/>
        <v>750</v>
      </c>
      <c r="X401" s="22">
        <v>0</v>
      </c>
      <c r="Y401" s="23">
        <v>0</v>
      </c>
      <c r="Z401" s="140">
        <f t="shared" si="182"/>
        <v>750</v>
      </c>
      <c r="AA401" s="140">
        <v>0</v>
      </c>
      <c r="AB401" s="140">
        <v>0</v>
      </c>
      <c r="AC401" s="140">
        <v>0</v>
      </c>
      <c r="AD401" s="127">
        <f t="shared" si="215"/>
        <v>750</v>
      </c>
    </row>
    <row r="402" spans="1:30" ht="25.5" customHeight="1" thickBot="1" x14ac:dyDescent="0.3">
      <c r="A402" s="151" t="s">
        <v>399</v>
      </c>
      <c r="B402" s="152" t="s">
        <v>400</v>
      </c>
      <c r="C402" s="153"/>
      <c r="D402" s="154"/>
      <c r="E402" s="154"/>
      <c r="F402" s="154"/>
      <c r="G402" s="154"/>
      <c r="H402" s="154"/>
      <c r="I402" s="154"/>
      <c r="J402" s="154"/>
      <c r="K402" s="153"/>
      <c r="L402" s="153">
        <v>0</v>
      </c>
      <c r="M402" s="154"/>
      <c r="N402" s="154"/>
      <c r="O402" s="154"/>
      <c r="P402" s="154">
        <v>0</v>
      </c>
      <c r="Q402" s="154">
        <v>0</v>
      </c>
      <c r="R402" s="154">
        <f>50</f>
        <v>50</v>
      </c>
      <c r="S402" s="154">
        <f>SUM(P402:R402)</f>
        <v>50</v>
      </c>
      <c r="T402" s="154">
        <v>0</v>
      </c>
      <c r="U402" s="154">
        <v>0</v>
      </c>
      <c r="V402" s="154">
        <v>0</v>
      </c>
      <c r="W402" s="153">
        <f t="shared" si="171"/>
        <v>50</v>
      </c>
      <c r="X402" s="153">
        <v>0</v>
      </c>
      <c r="Y402" s="155">
        <v>0</v>
      </c>
      <c r="Z402" s="156">
        <f t="shared" si="182"/>
        <v>50</v>
      </c>
      <c r="AA402" s="156">
        <v>0</v>
      </c>
      <c r="AB402" s="156">
        <v>0</v>
      </c>
      <c r="AC402" s="156">
        <v>0</v>
      </c>
      <c r="AD402" s="157">
        <f t="shared" si="215"/>
        <v>50</v>
      </c>
    </row>
    <row r="403" spans="1:30" ht="17.25" customHeight="1" thickBot="1" x14ac:dyDescent="0.3">
      <c r="A403" s="149" t="s">
        <v>401</v>
      </c>
      <c r="B403" s="150"/>
      <c r="C403" s="147" t="e">
        <f>SUM(C305+C308+C314+C324+C330+C334+C355+C360+#REF!+C368+C374+C381+C389+C393+C397)</f>
        <v>#REF!</v>
      </c>
      <c r="D403" s="147" t="e">
        <f>SUM(D305+D308+D314+D324+D330+D334+D355+D360+#REF!+D368+D374+D381+D389+D393+D397)</f>
        <v>#REF!</v>
      </c>
      <c r="E403" s="147" t="e">
        <f>SUM(C403:D403)</f>
        <v>#REF!</v>
      </c>
      <c r="F403" s="147" t="e">
        <f>F305+F308+F314+F324+F330+F334+F355+F360+#REF!+F368+F374+F381+F389+F393+F397</f>
        <v>#REF!</v>
      </c>
      <c r="G403" s="147" t="e">
        <f>SUM(G305+G308+G314+G324+G330+G334+G355+G360+#REF!+G368+G374+G381+G389+G393+G397)</f>
        <v>#REF!</v>
      </c>
      <c r="H403" s="147" t="e">
        <f>H305+H308+H314+H324+H330+H334+H355+H360+#REF!+H368+H374+H381+H389+H393+H397</f>
        <v>#REF!</v>
      </c>
      <c r="I403" s="147" t="e">
        <f>I305+I308+I314+I324+I330+I334+I355+I360+#REF!+I368+I374+I381+I389+I393+I397</f>
        <v>#REF!</v>
      </c>
      <c r="J403" s="147" t="e">
        <f>SUM(J305+J308+J314+J324+J330+J334+J355+J360+#REF!+J368+J374+J381+J389+J393+J397)</f>
        <v>#REF!</v>
      </c>
      <c r="K403" s="147" t="e">
        <f t="shared" si="212"/>
        <v>#REF!</v>
      </c>
      <c r="L403" s="147">
        <f>SUM(L305+L308+L314+L324+L330+L334+L355+L360+L368+L374+L381+L389+L397)</f>
        <v>346340.12000000005</v>
      </c>
      <c r="M403" s="147" t="e">
        <f>SUM(M305+M308+M314+M324+M330+M334+M355+M360+#REF!+M368+M374+M381+M389+M393+M397)</f>
        <v>#REF!</v>
      </c>
      <c r="N403" s="147" t="e">
        <f>L403/K403</f>
        <v>#REF!</v>
      </c>
      <c r="O403" s="147">
        <f t="shared" ref="O403:Y403" si="226">SUM(O305+O308+O314+O324+O330+O334+O355+O360+O368+O374+O381+O389+O393+O397)</f>
        <v>8171.4999999999982</v>
      </c>
      <c r="P403" s="147">
        <f t="shared" si="226"/>
        <v>352047.62</v>
      </c>
      <c r="Q403" s="147">
        <f t="shared" si="226"/>
        <v>153748.21</v>
      </c>
      <c r="R403" s="147">
        <f t="shared" si="226"/>
        <v>1313.8799999999999</v>
      </c>
      <c r="S403" s="147">
        <f t="shared" si="226"/>
        <v>508303.71</v>
      </c>
      <c r="T403" s="147">
        <f t="shared" si="226"/>
        <v>14043.550000000001</v>
      </c>
      <c r="U403" s="147">
        <f t="shared" si="226"/>
        <v>400</v>
      </c>
      <c r="V403" s="147">
        <f t="shared" si="226"/>
        <v>-3326</v>
      </c>
      <c r="W403" s="147">
        <f t="shared" si="226"/>
        <v>518577.86000000004</v>
      </c>
      <c r="X403" s="147">
        <f t="shared" si="226"/>
        <v>1049.47</v>
      </c>
      <c r="Y403" s="148">
        <f t="shared" si="226"/>
        <v>593.71</v>
      </c>
      <c r="Z403" s="147">
        <f>SUM(Z305+Z308+Z314+Z324+Z330+Z334+Z355+Z360+Z368+Z374+Z381+Z389+Z393+Z397)</f>
        <v>520221.04000000004</v>
      </c>
      <c r="AA403" s="147">
        <f>SUM(AA305+AA308+AA314+AA324+AA330+AA334+AA355+AA360+AA368+AA374+AA381+AA389+AA393+AA397)</f>
        <v>4616</v>
      </c>
      <c r="AB403" s="147">
        <f>SUM(AB305+AB308+AB314+AB324+AB330+AB334+AB355+AB360+AB368+AB374+AB381+AB389+AB393+AB397)</f>
        <v>-273253.36</v>
      </c>
      <c r="AC403" s="147">
        <f>SUM(AC305+AC308+AC314+AC324+AC330+AC334+AC355+AC360+AC368+AC374+AC381+AC389+AC393+AC397)</f>
        <v>0</v>
      </c>
      <c r="AD403" s="158">
        <f t="shared" si="215"/>
        <v>251583.68000000005</v>
      </c>
    </row>
    <row r="404" spans="1:30" ht="15.75" customHeight="1" thickBot="1" x14ac:dyDescent="0.3">
      <c r="A404" s="111" t="s">
        <v>402</v>
      </c>
      <c r="B404" s="112"/>
      <c r="C404" s="99" t="e">
        <f>C302+C403</f>
        <v>#REF!</v>
      </c>
      <c r="D404" s="99" t="e">
        <f>D302+D403</f>
        <v>#REF!</v>
      </c>
      <c r="E404" s="99" t="e">
        <f>SUM(C404:D404)</f>
        <v>#REF!</v>
      </c>
      <c r="F404" s="99" t="e">
        <f>F302+F403</f>
        <v>#REF!</v>
      </c>
      <c r="G404" s="99" t="e">
        <f>SUM(G302+G403)</f>
        <v>#REF!</v>
      </c>
      <c r="H404" s="99" t="e">
        <f>H302+H403</f>
        <v>#REF!</v>
      </c>
      <c r="I404" s="99" t="e">
        <f>I302+I403</f>
        <v>#REF!</v>
      </c>
      <c r="J404" s="99" t="e">
        <f>SUM(J302+J403)</f>
        <v>#REF!</v>
      </c>
      <c r="K404" s="99" t="e">
        <f t="shared" si="212"/>
        <v>#REF!</v>
      </c>
      <c r="L404" s="99">
        <f>L302+L403</f>
        <v>1873253.1000000003</v>
      </c>
      <c r="M404" s="99" t="e">
        <f>M302+M403</f>
        <v>#REF!</v>
      </c>
      <c r="N404" s="99" t="e">
        <f>L404/K404</f>
        <v>#REF!</v>
      </c>
      <c r="O404" s="99">
        <f t="shared" ref="O404:T404" si="227">SUM(O302+O403)</f>
        <v>11354.509999999998</v>
      </c>
      <c r="P404" s="99">
        <f t="shared" si="227"/>
        <v>1884480.4500000002</v>
      </c>
      <c r="Q404" s="99">
        <f t="shared" si="227"/>
        <v>205314.36</v>
      </c>
      <c r="R404" s="99">
        <f t="shared" si="227"/>
        <v>62143.86</v>
      </c>
      <c r="S404" s="99">
        <f t="shared" si="227"/>
        <v>2172117.6199999996</v>
      </c>
      <c r="T404" s="99">
        <f t="shared" si="227"/>
        <v>22238.020000000004</v>
      </c>
      <c r="U404" s="99">
        <f t="shared" ref="U404:AB404" si="228">SUM(U302+U403)</f>
        <v>0</v>
      </c>
      <c r="V404" s="99">
        <f t="shared" si="228"/>
        <v>8074.3000000000011</v>
      </c>
      <c r="W404" s="99">
        <f t="shared" si="228"/>
        <v>2207648.8899999997</v>
      </c>
      <c r="X404" s="99">
        <f t="shared" si="228"/>
        <v>17640.060000000005</v>
      </c>
      <c r="Y404" s="100">
        <f t="shared" si="228"/>
        <v>19872.48</v>
      </c>
      <c r="Z404" s="99">
        <f t="shared" si="228"/>
        <v>2245161.4299999997</v>
      </c>
      <c r="AA404" s="99">
        <f t="shared" si="228"/>
        <v>2632.74</v>
      </c>
      <c r="AB404" s="99">
        <f t="shared" si="228"/>
        <v>-372218.87</v>
      </c>
      <c r="AC404" s="99">
        <f>SUM(AC302+AC403)</f>
        <v>607.30000000000007</v>
      </c>
      <c r="AD404" s="135">
        <f t="shared" si="215"/>
        <v>1876182.5999999999</v>
      </c>
    </row>
    <row r="405" spans="1:30" ht="12" customHeight="1" thickBot="1" x14ac:dyDescent="0.3">
      <c r="A405" s="176"/>
      <c r="B405" s="177"/>
      <c r="C405" s="103"/>
      <c r="D405" s="103"/>
      <c r="E405" s="103"/>
      <c r="F405" s="103"/>
      <c r="G405" s="103"/>
      <c r="H405" s="103"/>
      <c r="I405" s="103"/>
      <c r="J405" s="103"/>
      <c r="K405" s="34"/>
      <c r="L405" s="103"/>
      <c r="M405" s="103"/>
      <c r="N405" s="103"/>
      <c r="O405" s="103"/>
      <c r="P405" s="103"/>
      <c r="Q405" s="103"/>
      <c r="R405" s="103"/>
      <c r="S405" s="103"/>
      <c r="T405" s="103"/>
      <c r="U405" s="103"/>
      <c r="V405" s="103"/>
      <c r="W405" s="34"/>
      <c r="X405" s="34"/>
      <c r="Y405" s="35"/>
      <c r="Z405" s="141"/>
      <c r="AA405" s="141"/>
      <c r="AB405" s="141"/>
      <c r="AC405" s="141"/>
      <c r="AD405" s="128"/>
    </row>
    <row r="406" spans="1:30" ht="27" customHeight="1" thickBot="1" x14ac:dyDescent="0.3">
      <c r="A406" s="36" t="s">
        <v>403</v>
      </c>
      <c r="B406" s="113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  <c r="S406" s="38"/>
      <c r="T406" s="38"/>
      <c r="U406" s="178"/>
      <c r="V406" s="178"/>
      <c r="W406" s="38"/>
      <c r="X406" s="38"/>
      <c r="Y406" s="39"/>
      <c r="Z406" s="142"/>
      <c r="AA406" s="142"/>
      <c r="AB406" s="142"/>
      <c r="AC406" s="142"/>
      <c r="AD406" s="130"/>
    </row>
    <row r="407" spans="1:30" ht="15" customHeight="1" x14ac:dyDescent="0.25">
      <c r="A407" s="16" t="s">
        <v>404</v>
      </c>
      <c r="B407" s="64"/>
      <c r="C407" s="18">
        <v>9350</v>
      </c>
      <c r="D407" s="18">
        <v>0</v>
      </c>
      <c r="E407" s="18">
        <f>SUM(C407:D407)</f>
        <v>9350</v>
      </c>
      <c r="F407" s="18">
        <v>0</v>
      </c>
      <c r="G407" s="18">
        <v>0</v>
      </c>
      <c r="H407" s="18">
        <f>SUM(E407:G407)</f>
        <v>9350</v>
      </c>
      <c r="I407" s="18">
        <v>0</v>
      </c>
      <c r="J407" s="18">
        <v>0</v>
      </c>
      <c r="K407" s="18">
        <f t="shared" si="212"/>
        <v>9350</v>
      </c>
      <c r="L407" s="18">
        <v>12100</v>
      </c>
      <c r="M407" s="18">
        <f>L407-K407</f>
        <v>2750</v>
      </c>
      <c r="N407" s="18">
        <f>L407/K407</f>
        <v>1.2941176470588236</v>
      </c>
      <c r="O407" s="18">
        <v>0</v>
      </c>
      <c r="P407" s="18">
        <f>L407+O407</f>
        <v>12100</v>
      </c>
      <c r="Q407" s="18">
        <v>0</v>
      </c>
      <c r="R407" s="18">
        <v>0</v>
      </c>
      <c r="S407" s="18">
        <f>SUM(P407:R407)</f>
        <v>12100</v>
      </c>
      <c r="T407" s="18">
        <v>0</v>
      </c>
      <c r="U407" s="18">
        <v>0</v>
      </c>
      <c r="V407" s="18">
        <v>0</v>
      </c>
      <c r="W407" s="18">
        <f t="shared" si="171"/>
        <v>12100</v>
      </c>
      <c r="X407" s="18">
        <v>0</v>
      </c>
      <c r="Y407" s="19">
        <v>0</v>
      </c>
      <c r="Z407" s="140">
        <f t="shared" si="182"/>
        <v>12100</v>
      </c>
      <c r="AA407" s="140">
        <v>0</v>
      </c>
      <c r="AB407" s="140">
        <v>0</v>
      </c>
      <c r="AC407" s="140">
        <v>0</v>
      </c>
      <c r="AD407" s="127">
        <f t="shared" si="215"/>
        <v>12100</v>
      </c>
    </row>
    <row r="408" spans="1:30" ht="24" customHeight="1" x14ac:dyDescent="0.25">
      <c r="A408" s="20" t="s">
        <v>405</v>
      </c>
      <c r="B408" s="58"/>
      <c r="C408" s="22">
        <v>0</v>
      </c>
      <c r="D408" s="22">
        <v>0</v>
      </c>
      <c r="E408" s="22">
        <f t="shared" ref="E408:E413" si="229">SUM(C408:D408)</f>
        <v>0</v>
      </c>
      <c r="F408" s="22">
        <v>0</v>
      </c>
      <c r="G408" s="22">
        <v>0</v>
      </c>
      <c r="H408" s="22">
        <f t="shared" ref="H408:H413" si="230">SUM(E408:G408)</f>
        <v>0</v>
      </c>
      <c r="I408" s="22">
        <v>0</v>
      </c>
      <c r="J408" s="22">
        <v>0</v>
      </c>
      <c r="K408" s="22">
        <f t="shared" si="212"/>
        <v>0</v>
      </c>
      <c r="L408" s="22">
        <v>0</v>
      </c>
      <c r="M408" s="22">
        <f t="shared" ref="M408:M413" si="231">L408-K408</f>
        <v>0</v>
      </c>
      <c r="N408" s="40" t="s">
        <v>46</v>
      </c>
      <c r="O408" s="40">
        <v>0</v>
      </c>
      <c r="P408" s="22">
        <f t="shared" ref="P408:P413" si="232">L408+O408</f>
        <v>0</v>
      </c>
      <c r="Q408" s="40">
        <v>0</v>
      </c>
      <c r="R408" s="40">
        <v>0</v>
      </c>
      <c r="S408" s="22">
        <f t="shared" ref="S408:S412" si="233">SUM(P408:R408)</f>
        <v>0</v>
      </c>
      <c r="T408" s="22">
        <v>0</v>
      </c>
      <c r="U408" s="22">
        <v>0</v>
      </c>
      <c r="V408" s="22">
        <v>0</v>
      </c>
      <c r="W408" s="22">
        <f t="shared" si="171"/>
        <v>0</v>
      </c>
      <c r="X408" s="22">
        <v>0</v>
      </c>
      <c r="Y408" s="23">
        <v>0</v>
      </c>
      <c r="Z408" s="140">
        <f t="shared" si="182"/>
        <v>0</v>
      </c>
      <c r="AA408" s="140">
        <v>0</v>
      </c>
      <c r="AB408" s="140">
        <v>0</v>
      </c>
      <c r="AC408" s="140">
        <v>0</v>
      </c>
      <c r="AD408" s="127">
        <f t="shared" si="215"/>
        <v>0</v>
      </c>
    </row>
    <row r="409" spans="1:30" ht="24.75" customHeight="1" x14ac:dyDescent="0.25">
      <c r="A409" s="20" t="s">
        <v>406</v>
      </c>
      <c r="B409" s="58"/>
      <c r="C409" s="22">
        <v>0</v>
      </c>
      <c r="D409" s="22">
        <v>0</v>
      </c>
      <c r="E409" s="22">
        <f t="shared" si="229"/>
        <v>0</v>
      </c>
      <c r="F409" s="22">
        <v>0</v>
      </c>
      <c r="G409" s="22">
        <v>0</v>
      </c>
      <c r="H409" s="22">
        <f t="shared" si="230"/>
        <v>0</v>
      </c>
      <c r="I409" s="22">
        <v>0</v>
      </c>
      <c r="J409" s="22">
        <v>0</v>
      </c>
      <c r="K409" s="22">
        <f t="shared" si="212"/>
        <v>0</v>
      </c>
      <c r="L409" s="22">
        <v>0</v>
      </c>
      <c r="M409" s="22">
        <f t="shared" si="231"/>
        <v>0</v>
      </c>
      <c r="N409" s="40" t="s">
        <v>46</v>
      </c>
      <c r="O409" s="40">
        <v>0</v>
      </c>
      <c r="P409" s="22">
        <f t="shared" si="232"/>
        <v>0</v>
      </c>
      <c r="Q409" s="40">
        <v>0</v>
      </c>
      <c r="R409" s="40">
        <v>0</v>
      </c>
      <c r="S409" s="22">
        <f t="shared" si="233"/>
        <v>0</v>
      </c>
      <c r="T409" s="22">
        <v>0</v>
      </c>
      <c r="U409" s="22">
        <v>0</v>
      </c>
      <c r="V409" s="22">
        <v>0</v>
      </c>
      <c r="W409" s="22">
        <f t="shared" si="171"/>
        <v>0</v>
      </c>
      <c r="X409" s="22">
        <v>0</v>
      </c>
      <c r="Y409" s="23">
        <v>0</v>
      </c>
      <c r="Z409" s="140">
        <f t="shared" si="182"/>
        <v>0</v>
      </c>
      <c r="AA409" s="140">
        <v>0</v>
      </c>
      <c r="AB409" s="140">
        <v>0</v>
      </c>
      <c r="AC409" s="140">
        <v>0</v>
      </c>
      <c r="AD409" s="127">
        <f>SUM(Z409:AC409)</f>
        <v>0</v>
      </c>
    </row>
    <row r="410" spans="1:30" ht="15" customHeight="1" x14ac:dyDescent="0.25">
      <c r="A410" s="20" t="s">
        <v>407</v>
      </c>
      <c r="B410" s="58"/>
      <c r="C410" s="22">
        <v>3200</v>
      </c>
      <c r="D410" s="22">
        <v>0</v>
      </c>
      <c r="E410" s="22">
        <f t="shared" si="229"/>
        <v>3200</v>
      </c>
      <c r="F410" s="22">
        <v>0</v>
      </c>
      <c r="G410" s="22">
        <v>0</v>
      </c>
      <c r="H410" s="22">
        <f t="shared" si="230"/>
        <v>3200</v>
      </c>
      <c r="I410" s="22">
        <v>0</v>
      </c>
      <c r="J410" s="22">
        <v>0</v>
      </c>
      <c r="K410" s="22">
        <f t="shared" si="212"/>
        <v>3200</v>
      </c>
      <c r="L410" s="22">
        <v>2859</v>
      </c>
      <c r="M410" s="22">
        <f t="shared" si="231"/>
        <v>-341</v>
      </c>
      <c r="N410" s="22">
        <f t="shared" ref="N410:N413" si="234">L410/K410</f>
        <v>0.8934375</v>
      </c>
      <c r="O410" s="22">
        <v>0</v>
      </c>
      <c r="P410" s="22">
        <f t="shared" si="232"/>
        <v>2859</v>
      </c>
      <c r="Q410" s="22">
        <v>0</v>
      </c>
      <c r="R410" s="22">
        <v>0</v>
      </c>
      <c r="S410" s="22">
        <f t="shared" si="233"/>
        <v>2859</v>
      </c>
      <c r="T410" s="22">
        <v>0</v>
      </c>
      <c r="U410" s="22">
        <v>0</v>
      </c>
      <c r="V410" s="22">
        <v>0</v>
      </c>
      <c r="W410" s="22">
        <f t="shared" ref="W410:W418" si="235">SUM(S410:V410)</f>
        <v>2859</v>
      </c>
      <c r="X410" s="22">
        <v>0</v>
      </c>
      <c r="Y410" s="23">
        <v>0</v>
      </c>
      <c r="Z410" s="140">
        <f t="shared" si="182"/>
        <v>2859</v>
      </c>
      <c r="AA410" s="140">
        <v>0</v>
      </c>
      <c r="AB410" s="140">
        <v>0</v>
      </c>
      <c r="AC410" s="140">
        <v>0</v>
      </c>
      <c r="AD410" s="127">
        <f t="shared" si="215"/>
        <v>2859</v>
      </c>
    </row>
    <row r="411" spans="1:30" ht="15" customHeight="1" x14ac:dyDescent="0.25">
      <c r="A411" s="20" t="s">
        <v>408</v>
      </c>
      <c r="B411" s="58"/>
      <c r="C411" s="22">
        <v>0</v>
      </c>
      <c r="D411" s="22">
        <v>0</v>
      </c>
      <c r="E411" s="22">
        <f t="shared" si="229"/>
        <v>0</v>
      </c>
      <c r="F411" s="22">
        <v>0</v>
      </c>
      <c r="G411" s="22">
        <v>0</v>
      </c>
      <c r="H411" s="22">
        <f t="shared" si="230"/>
        <v>0</v>
      </c>
      <c r="I411" s="22">
        <v>0</v>
      </c>
      <c r="J411" s="22">
        <v>0</v>
      </c>
      <c r="K411" s="22">
        <f t="shared" si="212"/>
        <v>0</v>
      </c>
      <c r="L411" s="22">
        <v>0</v>
      </c>
      <c r="M411" s="22">
        <f t="shared" si="231"/>
        <v>0</v>
      </c>
      <c r="N411" s="40" t="s">
        <v>46</v>
      </c>
      <c r="O411" s="40">
        <v>0</v>
      </c>
      <c r="P411" s="22">
        <f t="shared" si="232"/>
        <v>0</v>
      </c>
      <c r="Q411" s="40">
        <v>0</v>
      </c>
      <c r="R411" s="40">
        <v>0</v>
      </c>
      <c r="S411" s="22">
        <f t="shared" si="233"/>
        <v>0</v>
      </c>
      <c r="T411" s="22">
        <v>0</v>
      </c>
      <c r="U411" s="22">
        <v>0</v>
      </c>
      <c r="V411" s="22">
        <v>0</v>
      </c>
      <c r="W411" s="22">
        <f t="shared" si="235"/>
        <v>0</v>
      </c>
      <c r="X411" s="22">
        <v>0</v>
      </c>
      <c r="Y411" s="23">
        <v>0</v>
      </c>
      <c r="Z411" s="140">
        <f t="shared" si="182"/>
        <v>0</v>
      </c>
      <c r="AA411" s="140">
        <v>0</v>
      </c>
      <c r="AB411" s="140">
        <f>408497.84</f>
        <v>408497.84</v>
      </c>
      <c r="AC411" s="140">
        <v>0</v>
      </c>
      <c r="AD411" s="127">
        <f t="shared" si="215"/>
        <v>408497.84</v>
      </c>
    </row>
    <row r="412" spans="1:30" ht="15" customHeight="1" x14ac:dyDescent="0.25">
      <c r="A412" s="20" t="s">
        <v>409</v>
      </c>
      <c r="B412" s="58"/>
      <c r="C412" s="22">
        <v>0</v>
      </c>
      <c r="D412" s="22">
        <v>0</v>
      </c>
      <c r="E412" s="22">
        <f t="shared" si="229"/>
        <v>0</v>
      </c>
      <c r="F412" s="22">
        <v>0</v>
      </c>
      <c r="G412" s="22">
        <v>0</v>
      </c>
      <c r="H412" s="22">
        <f t="shared" si="230"/>
        <v>0</v>
      </c>
      <c r="I412" s="22">
        <v>0</v>
      </c>
      <c r="J412" s="22">
        <v>0</v>
      </c>
      <c r="K412" s="22">
        <f t="shared" si="212"/>
        <v>0</v>
      </c>
      <c r="L412" s="22">
        <v>0</v>
      </c>
      <c r="M412" s="22">
        <f t="shared" si="231"/>
        <v>0</v>
      </c>
      <c r="N412" s="40" t="s">
        <v>46</v>
      </c>
      <c r="O412" s="40">
        <v>0</v>
      </c>
      <c r="P412" s="22">
        <f t="shared" si="232"/>
        <v>0</v>
      </c>
      <c r="Q412" s="40">
        <v>0</v>
      </c>
      <c r="R412" s="40">
        <v>0</v>
      </c>
      <c r="S412" s="22">
        <f t="shared" si="233"/>
        <v>0</v>
      </c>
      <c r="T412" s="22">
        <v>0</v>
      </c>
      <c r="U412" s="22">
        <v>0</v>
      </c>
      <c r="V412" s="22">
        <v>0</v>
      </c>
      <c r="W412" s="22">
        <f t="shared" si="235"/>
        <v>0</v>
      </c>
      <c r="X412" s="22">
        <v>0</v>
      </c>
      <c r="Y412" s="23">
        <v>0</v>
      </c>
      <c r="Z412" s="140">
        <f t="shared" si="182"/>
        <v>0</v>
      </c>
      <c r="AA412" s="140">
        <v>0</v>
      </c>
      <c r="AB412" s="140">
        <f>139450.2</f>
        <v>139450.20000000001</v>
      </c>
      <c r="AC412" s="140">
        <v>0</v>
      </c>
      <c r="AD412" s="127">
        <f>SUM(Z412:AC412)</f>
        <v>139450.20000000001</v>
      </c>
    </row>
    <row r="413" spans="1:30" ht="15" customHeight="1" thickBot="1" x14ac:dyDescent="0.3">
      <c r="A413" s="24" t="s">
        <v>410</v>
      </c>
      <c r="B413" s="60"/>
      <c r="C413" s="26">
        <v>38776</v>
      </c>
      <c r="D413" s="26">
        <v>0</v>
      </c>
      <c r="E413" s="26">
        <f t="shared" si="229"/>
        <v>38776</v>
      </c>
      <c r="F413" s="26">
        <v>0</v>
      </c>
      <c r="G413" s="26">
        <v>0</v>
      </c>
      <c r="H413" s="26">
        <f t="shared" si="230"/>
        <v>38776</v>
      </c>
      <c r="I413" s="26">
        <v>0</v>
      </c>
      <c r="J413" s="26">
        <v>0</v>
      </c>
      <c r="K413" s="26">
        <f t="shared" si="212"/>
        <v>38776</v>
      </c>
      <c r="L413" s="26">
        <v>38776</v>
      </c>
      <c r="M413" s="26">
        <f t="shared" si="231"/>
        <v>0</v>
      </c>
      <c r="N413" s="61">
        <f t="shared" si="234"/>
        <v>1</v>
      </c>
      <c r="O413" s="61">
        <v>0</v>
      </c>
      <c r="P413" s="26">
        <f t="shared" si="232"/>
        <v>38776</v>
      </c>
      <c r="Q413" s="61">
        <v>0</v>
      </c>
      <c r="R413" s="61">
        <v>0</v>
      </c>
      <c r="S413" s="26">
        <f>SUM(P413:R413)</f>
        <v>38776</v>
      </c>
      <c r="T413" s="26">
        <v>0</v>
      </c>
      <c r="U413" s="26">
        <v>0</v>
      </c>
      <c r="V413" s="26">
        <v>0</v>
      </c>
      <c r="W413" s="26">
        <f t="shared" si="235"/>
        <v>38776</v>
      </c>
      <c r="X413" s="26">
        <f>447</f>
        <v>447</v>
      </c>
      <c r="Y413" s="27">
        <v>0</v>
      </c>
      <c r="Z413" s="141">
        <f t="shared" si="182"/>
        <v>39223</v>
      </c>
      <c r="AA413" s="141">
        <v>0</v>
      </c>
      <c r="AB413" s="141">
        <v>0</v>
      </c>
      <c r="AC413" s="141">
        <v>0</v>
      </c>
      <c r="AD413" s="128">
        <f t="shared" si="215"/>
        <v>39223</v>
      </c>
    </row>
    <row r="414" spans="1:30" ht="29.25" customHeight="1" thickBot="1" x14ac:dyDescent="0.3">
      <c r="A414" s="36" t="s">
        <v>411</v>
      </c>
      <c r="B414" s="114"/>
      <c r="C414" s="43">
        <f>SUM(C407:C413)</f>
        <v>51326</v>
      </c>
      <c r="D414" s="43">
        <f>SUM(D407:D413)</f>
        <v>0</v>
      </c>
      <c r="E414" s="43">
        <f>SUM(C414:D414)</f>
        <v>51326</v>
      </c>
      <c r="F414" s="43">
        <f>SUM(F407:F413)</f>
        <v>0</v>
      </c>
      <c r="G414" s="43">
        <f>SUM(G407:G413)</f>
        <v>0</v>
      </c>
      <c r="H414" s="43">
        <f>SUM(H407:H413)</f>
        <v>51326</v>
      </c>
      <c r="I414" s="43">
        <f>SUM(I407:I413)</f>
        <v>0</v>
      </c>
      <c r="J414" s="43">
        <f>SUM(J407:J413)</f>
        <v>0</v>
      </c>
      <c r="K414" s="43">
        <f t="shared" si="212"/>
        <v>51326</v>
      </c>
      <c r="L414" s="43">
        <f>SUM(L407:L413)</f>
        <v>53735</v>
      </c>
      <c r="M414" s="43">
        <f>SUM(M407:M413)</f>
        <v>2409</v>
      </c>
      <c r="N414" s="115">
        <f>L414/K414</f>
        <v>1.0469352764680668</v>
      </c>
      <c r="O414" s="115">
        <f t="shared" ref="O414:S414" si="236">SUM(O407:O413)</f>
        <v>0</v>
      </c>
      <c r="P414" s="115">
        <f t="shared" si="236"/>
        <v>53735</v>
      </c>
      <c r="Q414" s="115">
        <f t="shared" si="236"/>
        <v>0</v>
      </c>
      <c r="R414" s="115">
        <f t="shared" si="236"/>
        <v>0</v>
      </c>
      <c r="S414" s="115">
        <f t="shared" si="236"/>
        <v>53735</v>
      </c>
      <c r="T414" s="115">
        <f>SUM(T407:T413)</f>
        <v>0</v>
      </c>
      <c r="U414" s="115">
        <f>SUM(U407:U413)</f>
        <v>0</v>
      </c>
      <c r="V414" s="115">
        <f>SUM(V407:V413)</f>
        <v>0</v>
      </c>
      <c r="W414" s="43">
        <f>SUM(S414:V414)</f>
        <v>53735</v>
      </c>
      <c r="X414" s="43">
        <f>SUM(X407:X413)</f>
        <v>447</v>
      </c>
      <c r="Y414" s="44">
        <f>SUM(Y407:Y413)</f>
        <v>0</v>
      </c>
      <c r="Z414" s="43">
        <f>SUM(W414:Y414)</f>
        <v>54182</v>
      </c>
      <c r="AA414" s="43">
        <f>SUM(AA407:AA413)</f>
        <v>0</v>
      </c>
      <c r="AB414" s="43">
        <f>SUM(AB407:AB413)</f>
        <v>547948.04</v>
      </c>
      <c r="AC414" s="43">
        <f>SUM(AC407:AC413)</f>
        <v>0</v>
      </c>
      <c r="AD414" s="131">
        <f t="shared" si="215"/>
        <v>602130.04</v>
      </c>
    </row>
    <row r="415" spans="1:30" ht="21" customHeight="1" thickBot="1" x14ac:dyDescent="0.3">
      <c r="A415" s="45" t="s">
        <v>412</v>
      </c>
      <c r="B415" s="116"/>
      <c r="C415" s="46" t="e">
        <f>C404+C414</f>
        <v>#REF!</v>
      </c>
      <c r="D415" s="46" t="e">
        <f>D404+D414</f>
        <v>#REF!</v>
      </c>
      <c r="E415" s="46" t="e">
        <f>SUM(C415:D415)</f>
        <v>#REF!</v>
      </c>
      <c r="F415" s="46" t="e">
        <f>F404+F414</f>
        <v>#REF!</v>
      </c>
      <c r="G415" s="46" t="e">
        <f>SUM(G404+G414)</f>
        <v>#REF!</v>
      </c>
      <c r="H415" s="46" t="e">
        <f>H404+H414</f>
        <v>#REF!</v>
      </c>
      <c r="I415" s="46" t="e">
        <f>I404+I414</f>
        <v>#REF!</v>
      </c>
      <c r="J415" s="46" t="e">
        <f>SUM(J404+J414)</f>
        <v>#REF!</v>
      </c>
      <c r="K415" s="46" t="e">
        <f t="shared" si="212"/>
        <v>#REF!</v>
      </c>
      <c r="L415" s="46">
        <f>L404+L414</f>
        <v>1926988.1000000003</v>
      </c>
      <c r="M415" s="46" t="e">
        <f>M404+M414</f>
        <v>#REF!</v>
      </c>
      <c r="N415" s="117" t="e">
        <f>L415/K415</f>
        <v>#REF!</v>
      </c>
      <c r="O415" s="117">
        <f t="shared" ref="O415:Y415" si="237">SUM(O404+O414)</f>
        <v>11354.509999999998</v>
      </c>
      <c r="P415" s="117">
        <f t="shared" si="237"/>
        <v>1938215.4500000002</v>
      </c>
      <c r="Q415" s="117">
        <f t="shared" si="237"/>
        <v>205314.36</v>
      </c>
      <c r="R415" s="117">
        <f t="shared" si="237"/>
        <v>62143.86</v>
      </c>
      <c r="S415" s="117">
        <f t="shared" si="237"/>
        <v>2225852.6199999996</v>
      </c>
      <c r="T415" s="117">
        <f t="shared" si="237"/>
        <v>22238.020000000004</v>
      </c>
      <c r="U415" s="117">
        <f t="shared" si="237"/>
        <v>0</v>
      </c>
      <c r="V415" s="117">
        <f t="shared" si="237"/>
        <v>8074.3000000000011</v>
      </c>
      <c r="W415" s="46">
        <f t="shared" si="237"/>
        <v>2261383.8899999997</v>
      </c>
      <c r="X415" s="46">
        <f t="shared" si="237"/>
        <v>18087.060000000005</v>
      </c>
      <c r="Y415" s="47">
        <f t="shared" si="237"/>
        <v>19872.48</v>
      </c>
      <c r="Z415" s="46">
        <f>SUM(Z404+Z414)</f>
        <v>2299343.4299999997</v>
      </c>
      <c r="AA415" s="46">
        <f>SUM(AA404+AA414)</f>
        <v>2632.74</v>
      </c>
      <c r="AB415" s="46">
        <f>SUM(AB404+AB414)</f>
        <v>175729.17000000004</v>
      </c>
      <c r="AC415" s="46">
        <f>SUM(AC404+AC414)</f>
        <v>607.30000000000007</v>
      </c>
      <c r="AD415" s="136">
        <f t="shared" si="215"/>
        <v>2478312.6399999997</v>
      </c>
    </row>
    <row r="416" spans="1:30" ht="30.75" thickBot="1" x14ac:dyDescent="0.3">
      <c r="A416" s="36" t="s">
        <v>413</v>
      </c>
      <c r="B416" s="113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118"/>
      <c r="O416" s="118"/>
      <c r="P416" s="118"/>
      <c r="Q416" s="118"/>
      <c r="R416" s="118"/>
      <c r="S416" s="118"/>
      <c r="T416" s="118"/>
      <c r="U416" s="118"/>
      <c r="V416" s="118"/>
      <c r="W416" s="38"/>
      <c r="X416" s="38"/>
      <c r="Y416" s="39"/>
      <c r="Z416" s="142"/>
      <c r="AA416" s="142"/>
      <c r="AB416" s="142"/>
      <c r="AC416" s="142"/>
      <c r="AD416" s="130"/>
    </row>
    <row r="417" spans="1:30" ht="24" customHeight="1" thickBot="1" x14ac:dyDescent="0.3">
      <c r="A417" s="190" t="s">
        <v>414</v>
      </c>
      <c r="B417" s="191"/>
      <c r="C417" s="192" t="s">
        <v>345</v>
      </c>
      <c r="D417" s="192">
        <v>0</v>
      </c>
      <c r="E417" s="192">
        <f>SUM(C417:D417)</f>
        <v>0</v>
      </c>
      <c r="F417" s="192">
        <v>0</v>
      </c>
      <c r="G417" s="192">
        <v>0</v>
      </c>
      <c r="H417" s="192" t="s">
        <v>345</v>
      </c>
      <c r="I417" s="193">
        <v>0</v>
      </c>
      <c r="J417" s="193">
        <v>0</v>
      </c>
      <c r="K417" s="193">
        <f>SUM(H417:J417)</f>
        <v>0</v>
      </c>
      <c r="L417" s="192">
        <v>0</v>
      </c>
      <c r="M417" s="192" t="s">
        <v>345</v>
      </c>
      <c r="N417" s="192" t="s">
        <v>46</v>
      </c>
      <c r="O417" s="192">
        <v>0</v>
      </c>
      <c r="P417" s="192">
        <v>0</v>
      </c>
      <c r="Q417" s="192">
        <v>0</v>
      </c>
      <c r="R417" s="192">
        <v>0</v>
      </c>
      <c r="S417" s="192">
        <f>SUM(P417:R417)</f>
        <v>0</v>
      </c>
      <c r="T417" s="192">
        <f t="shared" ref="T417" si="238">SUM(Q417:S417)</f>
        <v>0</v>
      </c>
      <c r="U417" s="192">
        <v>0</v>
      </c>
      <c r="V417" s="192">
        <v>0</v>
      </c>
      <c r="W417" s="193">
        <f t="shared" si="235"/>
        <v>0</v>
      </c>
      <c r="X417" s="193">
        <v>0</v>
      </c>
      <c r="Y417" s="194">
        <v>0</v>
      </c>
      <c r="Z417" s="195">
        <f t="shared" si="182"/>
        <v>0</v>
      </c>
      <c r="AA417" s="195">
        <v>0</v>
      </c>
      <c r="AB417" s="195">
        <f>SUM(X417:AA417)</f>
        <v>0</v>
      </c>
      <c r="AC417" s="195">
        <v>0</v>
      </c>
      <c r="AD417" s="196">
        <f>SUM(Z417:AC417)</f>
        <v>0</v>
      </c>
    </row>
    <row r="418" spans="1:30" ht="30.75" thickBot="1" x14ac:dyDescent="0.3">
      <c r="A418" s="180" t="s">
        <v>415</v>
      </c>
      <c r="B418" s="181"/>
      <c r="C418" s="182">
        <f>SUM(C417)</f>
        <v>0</v>
      </c>
      <c r="D418" s="182">
        <f t="shared" ref="D418:H418" si="239">SUM(D417)</f>
        <v>0</v>
      </c>
      <c r="E418" s="182">
        <f t="shared" si="239"/>
        <v>0</v>
      </c>
      <c r="F418" s="182">
        <f t="shared" si="239"/>
        <v>0</v>
      </c>
      <c r="G418" s="182">
        <f t="shared" si="239"/>
        <v>0</v>
      </c>
      <c r="H418" s="182">
        <f t="shared" si="239"/>
        <v>0</v>
      </c>
      <c r="I418" s="182">
        <f>SUM(I417)</f>
        <v>0</v>
      </c>
      <c r="J418" s="182">
        <f>SUM(J417)</f>
        <v>0</v>
      </c>
      <c r="K418" s="182">
        <f t="shared" si="212"/>
        <v>0</v>
      </c>
      <c r="L418" s="182">
        <f>SUM(L417)</f>
        <v>0</v>
      </c>
      <c r="M418" s="182">
        <f>SUM(M417)</f>
        <v>0</v>
      </c>
      <c r="N418" s="183" t="s">
        <v>46</v>
      </c>
      <c r="O418" s="183">
        <f>SUM(O417)</f>
        <v>0</v>
      </c>
      <c r="P418" s="183">
        <f>SUM(P417)</f>
        <v>0</v>
      </c>
      <c r="Q418" s="183">
        <f>SUM(Q417)</f>
        <v>0</v>
      </c>
      <c r="R418" s="183">
        <f>SUM(R417)</f>
        <v>0</v>
      </c>
      <c r="S418" s="183">
        <f>SUM(S417)</f>
        <v>0</v>
      </c>
      <c r="T418" s="183">
        <f t="shared" ref="T418" si="240">SUM(T417)</f>
        <v>0</v>
      </c>
      <c r="U418" s="183">
        <v>0</v>
      </c>
      <c r="V418" s="183">
        <v>0</v>
      </c>
      <c r="W418" s="182">
        <f t="shared" si="235"/>
        <v>0</v>
      </c>
      <c r="X418" s="182">
        <v>0</v>
      </c>
      <c r="Y418" s="184">
        <v>0</v>
      </c>
      <c r="Z418" s="182">
        <f>SUM(W418:Y418)</f>
        <v>0</v>
      </c>
      <c r="AA418" s="182">
        <v>0</v>
      </c>
      <c r="AB418" s="182">
        <f>SUM(X418:AA418)</f>
        <v>0</v>
      </c>
      <c r="AC418" s="182">
        <f>SUM(AC417)</f>
        <v>0</v>
      </c>
      <c r="AD418" s="185">
        <f>SUM(Z418:AC418)</f>
        <v>0</v>
      </c>
    </row>
    <row r="419" spans="1:30" x14ac:dyDescent="0.25">
      <c r="D419" s="119"/>
      <c r="E419" s="120"/>
    </row>
  </sheetData>
  <sheetProtection algorithmName="SHA-512" hashValue="+3Ps0C6CvK3+9BgpTb19DywFxd0k4zyGDqeJf4DYqQWgHWir6jg+3o1zXnJxnAO/MU08lIG76O7MfsjInJQM+g==" saltValue="OFjS1Xmw4NjI4LKgtss1uA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roku 2023 po 5. změně a po RO RM č. 1 - 170 
&amp;"-,Obyčejné"Zpracovala:Mgr. Andrea Oháňková, Finanční odbor
&amp;RStrana &amp;P
celkem 25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po 5.ZR a RORM 1-170</vt:lpstr>
      <vt:lpstr>'ZU po 5.ZR a RORM 1-170'!Názvy_tisku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2024-01-19T07:06:36Z</cp:lastPrinted>
  <dcterms:created xsi:type="dcterms:W3CDTF">2023-11-02T05:45:21Z</dcterms:created>
  <dcterms:modified xsi:type="dcterms:W3CDTF">2024-01-19T07:06:59Z</dcterms:modified>
</cp:coreProperties>
</file>